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cs.senacrs.com.br/sites/nrh/Documentos Compartilhados/RH OPERAÇÕES/BENEFÍCIOS/DIVERSOS/ASSISTÊNCIA MÉDICA - SIMULADOR/"/>
    </mc:Choice>
  </mc:AlternateContent>
  <bookViews>
    <workbookView xWindow="0" yWindow="0" windowWidth="24000" windowHeight="9435"/>
  </bookViews>
  <sheets>
    <sheet name="Simulador" sheetId="3" r:id="rId1"/>
    <sheet name="Simulador Prof Assistente" sheetId="7" r:id="rId2"/>
    <sheet name="Exemplo" sheetId="6" state="hidden" r:id="rId3"/>
  </sheets>
  <definedNames>
    <definedName name="_xlnm.Print_Area" localSheetId="0">Simulador!$A$1:$F$25</definedName>
  </definedNames>
  <calcPr calcId="152511"/>
</workbook>
</file>

<file path=xl/calcChain.xml><?xml version="1.0" encoding="utf-8"?>
<calcChain xmlns="http://schemas.openxmlformats.org/spreadsheetml/2006/main">
  <c r="L12" i="3" l="1"/>
  <c r="K25" i="7" l="1"/>
  <c r="J25" i="7"/>
  <c r="I25" i="7"/>
  <c r="H25" i="7"/>
  <c r="S24" i="7"/>
  <c r="K24" i="7"/>
  <c r="J24" i="7"/>
  <c r="I24" i="7"/>
  <c r="H24" i="7"/>
  <c r="S23" i="7"/>
  <c r="K23" i="7"/>
  <c r="J23" i="7"/>
  <c r="I23" i="7"/>
  <c r="H23" i="7"/>
  <c r="S22" i="7"/>
  <c r="F18" i="7" s="1"/>
  <c r="K22" i="7"/>
  <c r="J22" i="7"/>
  <c r="I22" i="7"/>
  <c r="H22" i="7"/>
  <c r="S21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D23" i="7" s="1"/>
  <c r="H17" i="7"/>
  <c r="L15" i="7"/>
  <c r="K15" i="7"/>
  <c r="J15" i="7"/>
  <c r="I15" i="7"/>
  <c r="H15" i="7"/>
  <c r="K14" i="7"/>
  <c r="J14" i="7"/>
  <c r="I14" i="7"/>
  <c r="H14" i="7"/>
  <c r="F3" i="7"/>
  <c r="C11" i="7" l="1"/>
  <c r="D11" i="7" s="1"/>
  <c r="D15" i="7" s="1"/>
  <c r="I41" i="7"/>
  <c r="K44" i="7" s="1"/>
  <c r="J44" i="7" s="1"/>
  <c r="J43" i="7" s="1"/>
  <c r="D21" i="7"/>
  <c r="D18" i="7"/>
  <c r="D25" i="7"/>
  <c r="D20" i="7"/>
  <c r="M15" i="7"/>
  <c r="D19" i="7"/>
  <c r="D22" i="7"/>
  <c r="D24" i="7"/>
  <c r="H15" i="3"/>
  <c r="I15" i="3"/>
  <c r="J45" i="7" l="1"/>
  <c r="J46" i="7" s="1"/>
  <c r="C27" i="7"/>
  <c r="K41" i="3"/>
  <c r="J47" i="7" l="1"/>
  <c r="J12" i="3"/>
  <c r="M12" i="3" l="1"/>
  <c r="J22" i="3"/>
  <c r="J21" i="3"/>
  <c r="J20" i="3"/>
  <c r="J19" i="3"/>
  <c r="J18" i="3"/>
  <c r="J17" i="3"/>
  <c r="J16" i="3"/>
  <c r="K16" i="3" l="1"/>
  <c r="D16" i="3" s="1"/>
  <c r="K17" i="3"/>
  <c r="K18" i="3"/>
  <c r="K19" i="3"/>
  <c r="K20" i="3"/>
  <c r="K21" i="3"/>
  <c r="K22" i="3"/>
  <c r="K15" i="3"/>
  <c r="J15" i="3"/>
  <c r="I16" i="3"/>
  <c r="I17" i="3"/>
  <c r="I18" i="3"/>
  <c r="I19" i="3"/>
  <c r="I20" i="3"/>
  <c r="I21" i="3"/>
  <c r="I22" i="3"/>
  <c r="H16" i="3"/>
  <c r="H17" i="3"/>
  <c r="H18" i="3"/>
  <c r="H19" i="3"/>
  <c r="H20" i="3"/>
  <c r="H21" i="3"/>
  <c r="H22" i="3"/>
  <c r="S19" i="3" l="1"/>
  <c r="S20" i="3"/>
  <c r="S21" i="3"/>
  <c r="S18" i="3"/>
  <c r="F3" i="3" l="1"/>
  <c r="F15" i="3"/>
  <c r="K12" i="3"/>
  <c r="I12" i="3"/>
  <c r="H12" i="3"/>
  <c r="D12" i="3" l="1"/>
  <c r="K14" i="3"/>
  <c r="I14" i="3"/>
  <c r="H14" i="3"/>
  <c r="J14" i="3"/>
  <c r="K11" i="3"/>
  <c r="I11" i="3"/>
  <c r="J41" i="3" s="1"/>
  <c r="J40" i="3" s="1"/>
  <c r="H11" i="3"/>
  <c r="J11" i="3"/>
  <c r="D21" i="3" l="1"/>
  <c r="J29" i="3"/>
  <c r="J30" i="3" s="1"/>
  <c r="D22" i="3"/>
  <c r="D15" i="3"/>
  <c r="D18" i="3"/>
  <c r="D19" i="3"/>
  <c r="D17" i="3"/>
  <c r="D20" i="3"/>
  <c r="A4" i="6"/>
  <c r="A6" i="6" s="1"/>
  <c r="A7" i="6" s="1"/>
  <c r="J42" i="3" l="1"/>
  <c r="J31" i="3"/>
  <c r="C24" i="3"/>
  <c r="J43" i="3" l="1"/>
  <c r="J44" i="3" s="1"/>
  <c r="J32" i="3"/>
  <c r="J33" i="3" l="1"/>
</calcChain>
</file>

<file path=xl/comments1.xml><?xml version="1.0" encoding="utf-8"?>
<comments xmlns="http://schemas.openxmlformats.org/spreadsheetml/2006/main">
  <authors>
    <author>Mauricio Guterres da Silva</author>
  </authors>
  <commentList>
    <comment ref="B7" authorId="0" shapeId="0">
      <text>
        <r>
          <rPr>
            <b/>
            <sz val="12"/>
            <color indexed="81"/>
            <rFont val="Tahoma"/>
            <family val="2"/>
          </rPr>
          <t>Selecione a Modalidade do Plano de Saúde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Selecione seu Cargo</t>
        </r>
      </text>
    </comment>
    <comment ref="C12" authorId="0" shapeId="0">
      <text>
        <r>
          <rPr>
            <b/>
            <sz val="12"/>
            <color indexed="81"/>
            <rFont val="Tahoma"/>
            <family val="2"/>
          </rPr>
          <t>Digite sua idade em anos</t>
        </r>
      </text>
    </comment>
    <comment ref="B15" authorId="0" shapeId="0">
      <text>
        <r>
          <rPr>
            <b/>
            <sz val="12"/>
            <color indexed="81"/>
            <rFont val="Tahoma"/>
            <family val="2"/>
          </rPr>
          <t>Selecione o grau de parentesco de seu dependente</t>
        </r>
      </text>
    </comment>
    <comment ref="C15" authorId="0" shapeId="0">
      <text>
        <r>
          <rPr>
            <b/>
            <sz val="12"/>
            <color indexed="81"/>
            <rFont val="Tahoma"/>
            <family val="2"/>
          </rPr>
          <t>Digite a idade de seu dependente</t>
        </r>
      </text>
    </comment>
  </commentList>
</comments>
</file>

<file path=xl/comments2.xml><?xml version="1.0" encoding="utf-8"?>
<comments xmlns="http://schemas.openxmlformats.org/spreadsheetml/2006/main">
  <authors>
    <author>Mauricio Guterres da Silva</author>
    <author>Gabriela Thiesen Sarmiento</author>
  </authors>
  <commentList>
    <comment ref="B7" authorId="0" shapeId="0">
      <text>
        <r>
          <rPr>
            <b/>
            <sz val="12"/>
            <color indexed="81"/>
            <rFont val="Tahoma"/>
            <family val="2"/>
          </rPr>
          <t>Selecione a Modalidade do Plano de Saúde</t>
        </r>
      </text>
    </comment>
    <comment ref="C9" authorId="1" shapeId="0">
      <text>
        <r>
          <rPr>
            <b/>
            <sz val="12"/>
            <color indexed="81"/>
            <rFont val="Tahoma"/>
            <family val="2"/>
          </rPr>
          <t>Somar todas as horas contratuais</t>
        </r>
      </text>
    </comment>
    <comment ref="C15" authorId="0" shapeId="0">
      <text>
        <r>
          <rPr>
            <b/>
            <sz val="12"/>
            <color indexed="81"/>
            <rFont val="Tahoma"/>
            <family val="2"/>
          </rPr>
          <t>Digite sua idade em anos</t>
        </r>
      </text>
    </comment>
    <comment ref="B18" authorId="0" shapeId="0">
      <text>
        <r>
          <rPr>
            <b/>
            <sz val="12"/>
            <color indexed="81"/>
            <rFont val="Tahoma"/>
            <family val="2"/>
          </rPr>
          <t>Selecione o grau de parentesco de seu dependente</t>
        </r>
      </text>
    </comment>
    <comment ref="C18" authorId="0" shapeId="0">
      <text>
        <r>
          <rPr>
            <b/>
            <sz val="12"/>
            <color indexed="81"/>
            <rFont val="Tahoma"/>
            <family val="2"/>
          </rPr>
          <t>Digite a idade de seu dependente</t>
        </r>
      </text>
    </comment>
  </commentList>
</comments>
</file>

<file path=xl/sharedStrings.xml><?xml version="1.0" encoding="utf-8"?>
<sst xmlns="http://schemas.openxmlformats.org/spreadsheetml/2006/main" count="170" uniqueCount="87">
  <si>
    <t>AUXILIAR DE SERVIÇOS GERAIS</t>
  </si>
  <si>
    <t>AUXILIAR ADMINISTRATIVO I</t>
  </si>
  <si>
    <t>AUXILIAR DE MANUTENÇÃO</t>
  </si>
  <si>
    <t>AUXILIAR ADMINISTRATIVO II</t>
  </si>
  <si>
    <t>MOTORISTA</t>
  </si>
  <si>
    <t>SECRETÁRIA</t>
  </si>
  <si>
    <t>SECRETÁRIO DE ESCOLA</t>
  </si>
  <si>
    <t>TÉCNICO EM MANUTENÇÃO</t>
  </si>
  <si>
    <t>ASSISTENTE ADMINISTRATIVO</t>
  </si>
  <si>
    <t>ANALISTA I</t>
  </si>
  <si>
    <t>BIBLIOTECÁRIO</t>
  </si>
  <si>
    <t>ANALISTA II</t>
  </si>
  <si>
    <t>SECRETÁRIA EXECUTIVA</t>
  </si>
  <si>
    <t>PEDAGOGO</t>
  </si>
  <si>
    <t>COORDENADOR DE ÁREA</t>
  </si>
  <si>
    <t>CONSULTOR TÉCNICO</t>
  </si>
  <si>
    <t>DIRETOR REGIONAL</t>
  </si>
  <si>
    <t>desconto do colaborador</t>
  </si>
  <si>
    <t>mensalidade integral referencia</t>
  </si>
  <si>
    <t>mensalidade integral semiprivativo</t>
  </si>
  <si>
    <t>subsídio do senac</t>
  </si>
  <si>
    <t>mensalidade do semiprivativo</t>
  </si>
  <si>
    <t>Cálculo de Mensalidade</t>
  </si>
  <si>
    <t>Assistente Administrativo - 25 anos</t>
  </si>
  <si>
    <t>TÉCNICO DE NÍVEL SUPERIOR I</t>
  </si>
  <si>
    <t>TÉCNICO DE NÍVEL SUPERIOR II</t>
  </si>
  <si>
    <t>DIRETOR DE UNIDADE EDUCACIONAL I</t>
  </si>
  <si>
    <t>ESPECIALISTA</t>
  </si>
  <si>
    <t>COORDENADOR TÉCNICO</t>
  </si>
  <si>
    <t>DIRETOR DE UNIDADE EDUCACIONAL II</t>
  </si>
  <si>
    <t>CONSULTOR CORPORATIVO</t>
  </si>
  <si>
    <t>DIRETOR DE UNIDADE EDUCACIONAL III</t>
  </si>
  <si>
    <t>GERENTE DE ÁREA I</t>
  </si>
  <si>
    <t>DIRETOR DE FACULDADE I</t>
  </si>
  <si>
    <t>DIRETOR DE FACULDADE II</t>
  </si>
  <si>
    <t>GERENTE DE ÁREA II</t>
  </si>
  <si>
    <t xml:space="preserve">ASSESSOR DA PRESIDÊNCIA </t>
  </si>
  <si>
    <t>DEPENDENTES</t>
  </si>
  <si>
    <t xml:space="preserve">SIMULADOR DE PLANO DE SAÚDE     </t>
  </si>
  <si>
    <t>MODALIDADE DE PLANO</t>
  </si>
  <si>
    <t>Ambulatorial</t>
  </si>
  <si>
    <t>TITULAR</t>
  </si>
  <si>
    <t>FUNÇÃO</t>
  </si>
  <si>
    <t>Idade</t>
  </si>
  <si>
    <t>Mensalidade</t>
  </si>
  <si>
    <t>Subsídio</t>
  </si>
  <si>
    <t>CONJUGE</t>
  </si>
  <si>
    <t>FILHO(A)</t>
  </si>
  <si>
    <t>COMPANHEIRO(A)</t>
  </si>
  <si>
    <t>ENTEADO(A)/TUTELADO(A)</t>
  </si>
  <si>
    <t>VALOR TOTAL A PAGAR</t>
  </si>
  <si>
    <t>DIRETOR ADMINISTRATIVO FINANCEIRO</t>
  </si>
  <si>
    <t>ORIENTADORES DE EDUCAÇÃO PROFISSIONAL A</t>
  </si>
  <si>
    <t>ORIENTADORES DE EDUCAÇÃO PROFISSIONAL B</t>
  </si>
  <si>
    <t>ORIENTADORES DE EDUCAÇÃO PROFISSIONAL C</t>
  </si>
  <si>
    <t>Grupo</t>
  </si>
  <si>
    <t>Cargo</t>
  </si>
  <si>
    <t>Part.</t>
  </si>
  <si>
    <t>Referência</t>
  </si>
  <si>
    <t>Semi privativo Plus</t>
  </si>
  <si>
    <t>Privativo</t>
  </si>
  <si>
    <t>* Emergência e Urgência: 24 horas;
* Consultas médicas eletivas e exames de baixa complexidade: 30 dias;
* Fisiatria: 60 dias;
* Exames e procedimentos complementares: 60 dias.</t>
  </si>
  <si>
    <t>* Emergência e Urgência: 24 horas;
* Consultas médicas eletivas e exames de baixa complexidade: 30 dias;
* Fisiatria: 60 dias;
* Exames de sangue, urina, fezes, microbiologia, radiologia simples: 30 dias;
* Exames e procedimentos complementares: 60 dias;
* Atendimento e internações psiquiátricas: 60 dias;
* Internações hospitalares: 60 dias;
* Eventos obstétricos a termo: 300 dias;
* Todos os demais casos de cobertura: 180 dias.</t>
  </si>
  <si>
    <t>* Emergência e Urgência: 24 horas;
* Consultas médicas eletivas e  exames de baixa complexidade: 30 dias;
* Fisiatria: 60 dias;
* Exames e procedimentos complementares: 60 dias;
* Atendimento e internações psiquiátricas: 60 dias;
* Internações hospitalares: 60 dias;
* Eventos obstétricos a termo: 300 dias;
* Todos os demais casos de cobertura: 180 dias.</t>
  </si>
  <si>
    <t>COBERTURAS</t>
  </si>
  <si>
    <t>CARÊNCIAS</t>
  </si>
  <si>
    <t>* Emergência e Urgência: 24 horas;
* Consultas médicas e exames de baixa complexidade: 30 dias;
* Fisiatria: 60 dias;
* Exames e procedimentos complementares: 60 dias;
* Atendimento e internações psiquiátricas: 60 dias;
* Internações hospitalares: 60 dias;
* Eventos obstétricos a termo: 300 dias;
* Todos os demais casos de cobertura: 180 dias.</t>
  </si>
  <si>
    <t>* Consulta com médicos credenciados;
* Cobertura Nacional- Exceto Hospital Mãe de Deus e Moinhos de Vento;
* Exames de baixa complexidade
* Beneficiários: colaboradores e dependentes (esposo(a); companheiro(a); filhos(as)
até 21 anos ou 24 anos se cursando ensino superior; Enteados e tutelados);
* Prazo de Adesão: até 90 dias após a data de admissão (sem carência).</t>
  </si>
  <si>
    <t>* Consultas com médicos assistentes cooperados;
* Serviços de urgência nos pronto atendimentos e demais credenciados;
* Serviços ambulatoriais;
* Cobertura Nacional- Exceto Hospital Mãe de Deus e Moinhos de Vento;
* Internações hospitalares em quarto semi-privativo;
* Exames necessários ao diagnóstico;
* Beneficiários: colaboradores e dependentes (esposo(a); companheiro(a), legalmente habilitados; filhos(as)
até 21 anos ou 24 anos se cursando ensino superior; Enteados e tutelados);
* Prazo de Adesão: até 90 dias após a data de admissão (sem carência).</t>
  </si>
  <si>
    <t>* Consultas com médicos assistentes cooperados;
* Cobertura Nacional - Incluindo os  Hospitais Mãe de Deus e Moinhos de Vento;
* Internação em quarto privativo;
* Exames
* Beneficiários: colaboradores e dependentes (esposo(a); companheiro(a); filhos(as) até 21 anos ou 24 anos se cursando ensino superior; Enteados e tutelados);
* Prazo de Adesão: até 90 dias após a data de admissão (sem carência).</t>
  </si>
  <si>
    <t>* Consultas com médicos assistentes cooperados;
* Cobertura Nacional - Incluindo os  Hospitais Mãe de Deus e Moinhos de Vento;
* Internação em quarto semi-privativo;
* Exames
* Beneficiários: colaboradores e dependentes (esposo(a); companheiro(a); filhos(as) até 21 anos ou 24 anos se cursando ensino superior; Enteados e tutelados);
* Prazo de Adesão: até 90 dias após a data de admissão (sem carência).</t>
  </si>
  <si>
    <t>Obs: Quando precisar reajustar os valores da UNIMED, basta atualizar os valores totais sinalizados em amarelo, de acordo com a modalidade do plano.</t>
  </si>
  <si>
    <t>Desc. Dependente</t>
  </si>
  <si>
    <t>Subs. Dep.</t>
  </si>
  <si>
    <t>Total</t>
  </si>
  <si>
    <t>Desconto</t>
  </si>
  <si>
    <t>Subsidio</t>
  </si>
  <si>
    <t>Matr.</t>
  </si>
  <si>
    <t>PROFESSOR</t>
  </si>
  <si>
    <t>CH</t>
  </si>
  <si>
    <t>CARGA HORÁRIA MENSAL</t>
  </si>
  <si>
    <t>CARGA HORÁRIA SEMANAL</t>
  </si>
  <si>
    <t>SUBSIDIO</t>
  </si>
  <si>
    <t>PROFESSOS ASSISTENTE / ADJUNTO</t>
  </si>
  <si>
    <t>180 dias para eventos obstetricos quando alteração do menor para o maior.</t>
  </si>
  <si>
    <t>PEDAGOGO II</t>
  </si>
  <si>
    <t>PEDAGOGO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</si>
</sst>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\-??_);_(@_)"/>
    <numFmt numFmtId="165" formatCode="&quot;R$&quot;\ #,##0.00"/>
  </numFmts>
  <fonts count="20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u/>
      <sz val="14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indexed="81"/>
      <name val="Tahoma"/>
      <family val="2"/>
    </font>
    <font>
      <b/>
      <sz val="22"/>
      <color indexed="9"/>
      <name val="Arial"/>
      <family val="2"/>
    </font>
    <font>
      <sz val="14"/>
      <color indexed="9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ill="0" applyAlignment="0" applyProtection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ont="1" applyBorder="1"/>
    <xf numFmtId="0" fontId="0" fillId="0" borderId="0" xfId="0" applyBorder="1"/>
    <xf numFmtId="164" fontId="4" fillId="0" borderId="1" xfId="1" applyBorder="1"/>
    <xf numFmtId="0" fontId="0" fillId="0" borderId="2" xfId="0" applyBorder="1"/>
    <xf numFmtId="0" fontId="0" fillId="0" borderId="2" xfId="0" applyFill="1" applyBorder="1"/>
    <xf numFmtId="164" fontId="1" fillId="2" borderId="3" xfId="1" applyFont="1" applyFill="1" applyBorder="1"/>
    <xf numFmtId="0" fontId="0" fillId="2" borderId="4" xfId="0" applyFill="1" applyBorder="1"/>
    <xf numFmtId="0" fontId="0" fillId="4" borderId="0" xfId="0" applyFont="1" applyFill="1" applyBorder="1"/>
    <xf numFmtId="0" fontId="0" fillId="6" borderId="0" xfId="0" applyFill="1"/>
    <xf numFmtId="0" fontId="0" fillId="6" borderId="0" xfId="0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7" fillId="6" borderId="0" xfId="0" applyFont="1" applyFill="1"/>
    <xf numFmtId="0" fontId="0" fillId="6" borderId="0" xfId="0" applyFill="1" applyBorder="1"/>
    <xf numFmtId="0" fontId="0" fillId="3" borderId="5" xfId="0" applyFill="1" applyBorder="1" applyAlignment="1" applyProtection="1">
      <alignment horizontal="center"/>
      <protection locked="0"/>
    </xf>
    <xf numFmtId="164" fontId="0" fillId="6" borderId="5" xfId="1" applyFont="1" applyFill="1" applyBorder="1" applyAlignment="1">
      <alignment horizontal="center"/>
    </xf>
    <xf numFmtId="0" fontId="0" fillId="3" borderId="5" xfId="0" applyFill="1" applyBorder="1" applyAlignment="1" applyProtection="1">
      <alignment horizontal="left"/>
      <protection locked="0"/>
    </xf>
    <xf numFmtId="164" fontId="0" fillId="0" borderId="5" xfId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wrapText="1"/>
    </xf>
    <xf numFmtId="9" fontId="0" fillId="4" borderId="0" xfId="0" applyNumberFormat="1" applyFont="1" applyFill="1" applyBorder="1" applyAlignment="1">
      <alignment horizontal="center"/>
    </xf>
    <xf numFmtId="9" fontId="11" fillId="4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9" fontId="1" fillId="5" borderId="5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9" fontId="0" fillId="4" borderId="5" xfId="0" applyNumberFormat="1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9" fontId="0" fillId="5" borderId="5" xfId="0" applyNumberFormat="1" applyFont="1" applyFill="1" applyBorder="1" applyAlignment="1">
      <alignment horizontal="center" vertical="center"/>
    </xf>
    <xf numFmtId="9" fontId="0" fillId="8" borderId="5" xfId="0" applyNumberForma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 vertical="center" wrapText="1"/>
    </xf>
    <xf numFmtId="1" fontId="0" fillId="5" borderId="5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right" vertical="center"/>
    </xf>
    <xf numFmtId="0" fontId="0" fillId="8" borderId="5" xfId="0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wrapText="1"/>
    </xf>
    <xf numFmtId="9" fontId="0" fillId="4" borderId="0" xfId="0" applyNumberFormat="1" applyFont="1" applyFill="1" applyBorder="1"/>
    <xf numFmtId="0" fontId="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164" fontId="15" fillId="4" borderId="0" xfId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164" fontId="0" fillId="4" borderId="0" xfId="1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6" fillId="10" borderId="5" xfId="0" applyFont="1" applyFill="1" applyBorder="1" applyAlignment="1">
      <alignment horizontal="center" vertical="center"/>
    </xf>
    <xf numFmtId="4" fontId="12" fillId="11" borderId="5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5" fontId="0" fillId="4" borderId="5" xfId="0" applyNumberFormat="1" applyFont="1" applyFill="1" applyBorder="1" applyAlignment="1">
      <alignment horizontal="center"/>
    </xf>
    <xf numFmtId="165" fontId="4" fillId="4" borderId="5" xfId="1" applyNumberForma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/>
    </xf>
    <xf numFmtId="2" fontId="0" fillId="4" borderId="0" xfId="0" applyNumberFormat="1" applyFont="1" applyFill="1" applyBorder="1"/>
    <xf numFmtId="2" fontId="0" fillId="4" borderId="5" xfId="0" applyNumberFormat="1" applyFont="1" applyFill="1" applyBorder="1" applyAlignment="1">
      <alignment horizontal="right" vertical="center"/>
    </xf>
    <xf numFmtId="0" fontId="0" fillId="4" borderId="5" xfId="0" applyFont="1" applyFill="1" applyBorder="1" applyAlignment="1">
      <alignment horizontal="center"/>
    </xf>
    <xf numFmtId="9" fontId="0" fillId="4" borderId="0" xfId="2" applyFont="1" applyFill="1" applyBorder="1"/>
    <xf numFmtId="0" fontId="1" fillId="3" borderId="5" xfId="0" applyFont="1" applyFill="1" applyBorder="1" applyAlignment="1" applyProtection="1">
      <alignment horizontal="left"/>
      <protection locked="0"/>
    </xf>
    <xf numFmtId="2" fontId="0" fillId="6" borderId="5" xfId="0" applyNumberFormat="1" applyFill="1" applyBorder="1" applyAlignment="1">
      <alignment horizontal="center"/>
    </xf>
    <xf numFmtId="2" fontId="19" fillId="6" borderId="0" xfId="0" applyNumberFormat="1" applyFont="1" applyFill="1"/>
    <xf numFmtId="0" fontId="0" fillId="3" borderId="5" xfId="0" applyFill="1" applyBorder="1" applyProtection="1"/>
    <xf numFmtId="0" fontId="0" fillId="6" borderId="5" xfId="0" applyFill="1" applyBorder="1" applyAlignment="1" applyProtection="1">
      <alignment horizontal="center"/>
      <protection locked="0"/>
    </xf>
    <xf numFmtId="10" fontId="0" fillId="6" borderId="5" xfId="2" applyNumberFormat="1" applyFont="1" applyFill="1" applyBorder="1" applyAlignment="1">
      <alignment horizontal="center"/>
    </xf>
    <xf numFmtId="165" fontId="0" fillId="4" borderId="0" xfId="0" applyNumberFormat="1" applyFont="1" applyFill="1" applyBorder="1"/>
    <xf numFmtId="10" fontId="0" fillId="4" borderId="0" xfId="2" applyNumberFormat="1" applyFont="1" applyFill="1" applyBorder="1"/>
    <xf numFmtId="43" fontId="0" fillId="4" borderId="0" xfId="0" applyNumberFormat="1" applyFont="1" applyFill="1" applyBorder="1"/>
    <xf numFmtId="0" fontId="0" fillId="8" borderId="6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14" fillId="7" borderId="10" xfId="0" applyFont="1" applyFill="1" applyBorder="1" applyAlignment="1">
      <alignment horizontal="left" vertical="center"/>
    </xf>
    <xf numFmtId="0" fontId="14" fillId="7" borderId="11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164" fontId="15" fillId="9" borderId="14" xfId="1" applyFont="1" applyFill="1" applyBorder="1" applyAlignment="1">
      <alignment horizontal="center" vertical="center"/>
    </xf>
    <xf numFmtId="164" fontId="15" fillId="9" borderId="8" xfId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justify" vertical="top" wrapText="1"/>
    </xf>
    <xf numFmtId="0" fontId="0" fillId="4" borderId="16" xfId="0" applyFont="1" applyFill="1" applyBorder="1" applyAlignment="1">
      <alignment horizontal="justify" vertical="top" wrapText="1"/>
    </xf>
    <xf numFmtId="0" fontId="0" fillId="4" borderId="17" xfId="0" applyFont="1" applyFill="1" applyBorder="1" applyAlignment="1">
      <alignment horizontal="justify" vertical="top" wrapText="1"/>
    </xf>
    <xf numFmtId="0" fontId="17" fillId="4" borderId="15" xfId="0" applyFont="1" applyFill="1" applyBorder="1" applyAlignment="1">
      <alignment horizontal="justify" vertical="top" wrapText="1"/>
    </xf>
    <xf numFmtId="0" fontId="17" fillId="4" borderId="16" xfId="0" applyFont="1" applyFill="1" applyBorder="1" applyAlignment="1">
      <alignment horizontal="justify" vertical="top" wrapText="1"/>
    </xf>
    <xf numFmtId="0" fontId="17" fillId="4" borderId="17" xfId="0" applyFont="1" applyFill="1" applyBorder="1" applyAlignment="1">
      <alignment horizontal="justify" vertical="top" wrapText="1"/>
    </xf>
    <xf numFmtId="0" fontId="14" fillId="7" borderId="10" xfId="0" applyFont="1" applyFill="1" applyBorder="1" applyAlignment="1">
      <alignment horizontal="right" vertical="center"/>
    </xf>
    <xf numFmtId="0" fontId="14" fillId="7" borderId="11" xfId="0" applyFont="1" applyFill="1" applyBorder="1" applyAlignment="1">
      <alignment horizontal="right" vertical="center"/>
    </xf>
    <xf numFmtId="0" fontId="14" fillId="7" borderId="12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right" vertical="center"/>
    </xf>
    <xf numFmtId="0" fontId="14" fillId="7" borderId="0" xfId="0" applyFont="1" applyFill="1" applyBorder="1" applyAlignment="1">
      <alignment horizontal="right" vertical="center"/>
    </xf>
    <xf numFmtId="0" fontId="14" fillId="7" borderId="2" xfId="0" applyFont="1" applyFill="1" applyBorder="1" applyAlignment="1">
      <alignment horizontal="right" vertical="center"/>
    </xf>
    <xf numFmtId="0" fontId="14" fillId="7" borderId="3" xfId="0" applyFont="1" applyFill="1" applyBorder="1" applyAlignment="1">
      <alignment horizontal="right" vertical="center"/>
    </xf>
    <xf numFmtId="0" fontId="14" fillId="7" borderId="13" xfId="0" applyFont="1" applyFill="1" applyBorder="1" applyAlignment="1">
      <alignment horizontal="right" vertical="center"/>
    </xf>
    <xf numFmtId="0" fontId="14" fillId="7" borderId="4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00"/>
      <color rgb="FF008000"/>
      <color rgb="FF2784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350440</xdr:colOff>
      <xdr:row>4</xdr:row>
      <xdr:rowOff>152399</xdr:rowOff>
    </xdr:from>
    <xdr:to>
      <xdr:col>3</xdr:col>
      <xdr:colOff>640633</xdr:colOff>
      <xdr:row>8</xdr:row>
      <xdr:rowOff>44824</xdr:rowOff>
    </xdr:to>
    <xdr:pic>
      <xdr:nvPicPr>
        <xdr:cNvPr id="383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087" y="905434"/>
          <a:ext cx="854970" cy="66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151360</xdr:colOff>
      <xdr:row>0</xdr:row>
      <xdr:rowOff>81396</xdr:rowOff>
    </xdr:from>
    <xdr:to>
      <xdr:col>1</xdr:col>
      <xdr:colOff>160365</xdr:colOff>
      <xdr:row>4</xdr:row>
      <xdr:rowOff>44681</xdr:rowOff>
    </xdr:to>
    <xdr:pic>
      <xdr:nvPicPr>
        <xdr:cNvPr id="6" name="Picture 2" descr="MCj0433937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60" y="81396"/>
          <a:ext cx="618605" cy="70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246610</xdr:colOff>
      <xdr:row>0</xdr:row>
      <xdr:rowOff>100446</xdr:rowOff>
    </xdr:from>
    <xdr:to>
      <xdr:col>1</xdr:col>
      <xdr:colOff>579465</xdr:colOff>
      <xdr:row>4</xdr:row>
      <xdr:rowOff>82781</xdr:rowOff>
    </xdr:to>
    <xdr:pic>
      <xdr:nvPicPr>
        <xdr:cNvPr id="3" name="Picture 2" descr="MCj043393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10" y="100446"/>
          <a:ext cx="780530" cy="68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5</xdr:row>
      <xdr:rowOff>38100</xdr:rowOff>
    </xdr:from>
    <xdr:to>
      <xdr:col>4</xdr:col>
      <xdr:colOff>61593</xdr:colOff>
      <xdr:row>8</xdr:row>
      <xdr:rowOff>121025</xdr:rowOff>
    </xdr:to>
    <xdr:pic>
      <xdr:nvPicPr>
        <xdr:cNvPr id="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971550"/>
          <a:ext cx="842643" cy="66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B1:AA47"/>
  <sheetViews>
    <sheetView tabSelected="1" zoomScaleNormal="100" zoomScaleSheetLayoutView="70" workbookViewId="0">
      <selection activeCell="B12" sqref="B12"/>
    </sheetView>
  </sheetViews>
  <sheetFormatPr defaultColWidth="11.5703125" defaultRowHeight="12.75" x14ac:dyDescent="0.2"/>
  <cols>
    <col min="1" max="1" width="9.140625" style="8" customWidth="1"/>
    <col min="2" max="2" width="53.5703125" style="18" customWidth="1"/>
    <col min="3" max="3" width="8.28515625" style="8" customWidth="1"/>
    <col min="4" max="4" width="12" style="21" bestFit="1" customWidth="1"/>
    <col min="5" max="5" width="3.7109375" style="21" customWidth="1"/>
    <col min="6" max="6" width="47.7109375" style="21" customWidth="1"/>
    <col min="7" max="7" width="5.7109375" style="21" hidden="1" customWidth="1"/>
    <col min="8" max="8" width="12" style="8" hidden="1" customWidth="1"/>
    <col min="9" max="9" width="11" style="8" hidden="1" customWidth="1"/>
    <col min="10" max="10" width="11.5703125" style="8" hidden="1" customWidth="1"/>
    <col min="11" max="11" width="17.85546875" style="8" hidden="1" customWidth="1"/>
    <col min="12" max="14" width="11.5703125" style="8" hidden="1" customWidth="1"/>
    <col min="15" max="15" width="16.7109375" style="8" hidden="1" customWidth="1"/>
    <col min="16" max="16" width="47" style="8" hidden="1" customWidth="1"/>
    <col min="17" max="26" width="11.5703125" style="8" hidden="1" customWidth="1"/>
    <col min="27" max="27" width="15.42578125" style="8" hidden="1" customWidth="1"/>
    <col min="28" max="28" width="0" style="8" hidden="1" customWidth="1"/>
    <col min="29" max="16384" width="11.5703125" style="8"/>
  </cols>
  <sheetData>
    <row r="1" spans="2:26" ht="13.5" thickBot="1" x14ac:dyDescent="0.25"/>
    <row r="2" spans="2:26" ht="15" customHeight="1" x14ac:dyDescent="0.2">
      <c r="B2" s="70" t="s">
        <v>38</v>
      </c>
      <c r="C2" s="71"/>
      <c r="D2" s="72"/>
      <c r="E2" s="36"/>
      <c r="F2" s="48" t="s">
        <v>64</v>
      </c>
      <c r="G2" s="36"/>
      <c r="H2" s="35"/>
      <c r="I2" s="35"/>
      <c r="J2" s="35"/>
      <c r="K2" s="35"/>
      <c r="L2" s="35"/>
    </row>
    <row r="3" spans="2:26" ht="15" customHeight="1" x14ac:dyDescent="0.2">
      <c r="B3" s="73"/>
      <c r="C3" s="74"/>
      <c r="D3" s="75"/>
      <c r="E3" s="36"/>
      <c r="F3" s="85" t="str">
        <f>VLOOKUP(B7,S18:U21,3)</f>
        <v>* Consultas com médicos assistentes cooperados;
* Serviços de urgência nos pronto atendimentos e demais credenciados;
* Serviços ambulatoriais;
* Cobertura Nacional- Exceto Hospital Mãe de Deus e Moinhos de Vento;
* Internações hospitalares em quarto semi-privativo;
* Exames necessários ao diagnóstico;
* Beneficiários: colaboradores e dependentes (esposo(a); companheiro(a), legalmente habilitados; filhos(as)
até 21 anos ou 24 anos se cursando ensino superior; Enteados e tutelados);
* Prazo de Adesão: até 90 dias após a data de admissão (sem carência).</v>
      </c>
      <c r="G3" s="36"/>
      <c r="H3" s="35"/>
      <c r="I3" s="35"/>
      <c r="J3" s="35"/>
      <c r="K3" s="35"/>
      <c r="L3" s="35"/>
    </row>
    <row r="4" spans="2:26" ht="15.6" customHeight="1" thickBot="1" x14ac:dyDescent="0.25">
      <c r="B4" s="76"/>
      <c r="C4" s="77"/>
      <c r="D4" s="78"/>
      <c r="E4" s="36"/>
      <c r="F4" s="86"/>
      <c r="G4" s="36"/>
      <c r="H4" s="35"/>
      <c r="I4" s="35"/>
      <c r="J4" s="35"/>
      <c r="K4" s="35"/>
      <c r="L4" s="35"/>
      <c r="Q4" s="50" t="s">
        <v>71</v>
      </c>
    </row>
    <row r="5" spans="2:26" ht="15.6" customHeight="1" x14ac:dyDescent="0.2">
      <c r="B5" s="36"/>
      <c r="C5" s="36"/>
      <c r="D5" s="36"/>
      <c r="E5" s="36"/>
      <c r="F5" s="86"/>
      <c r="G5" s="36"/>
      <c r="H5" s="35"/>
      <c r="I5" s="35"/>
      <c r="J5" s="35"/>
      <c r="K5" s="35"/>
      <c r="L5" s="35"/>
    </row>
    <row r="6" spans="2:26" ht="15.75" customHeight="1" x14ac:dyDescent="0.2">
      <c r="B6" s="30" t="s">
        <v>39</v>
      </c>
      <c r="D6" s="8"/>
      <c r="E6" s="8"/>
      <c r="F6" s="86"/>
      <c r="G6" s="8"/>
      <c r="L6" s="29"/>
      <c r="M6" s="29"/>
      <c r="P6" s="33">
        <v>0</v>
      </c>
      <c r="Q6" s="33">
        <v>1E-4</v>
      </c>
      <c r="R6" s="23">
        <v>19</v>
      </c>
      <c r="S6" s="23">
        <v>24</v>
      </c>
      <c r="T6" s="23">
        <v>29</v>
      </c>
      <c r="U6" s="23">
        <v>34</v>
      </c>
      <c r="V6" s="23">
        <v>39</v>
      </c>
      <c r="W6" s="23">
        <v>44</v>
      </c>
      <c r="X6" s="23">
        <v>49</v>
      </c>
      <c r="Y6" s="23">
        <v>54</v>
      </c>
      <c r="Z6" s="23">
        <v>59</v>
      </c>
    </row>
    <row r="7" spans="2:26" ht="15" customHeight="1" x14ac:dyDescent="0.2">
      <c r="B7" s="47" t="s">
        <v>58</v>
      </c>
      <c r="C7" s="9"/>
      <c r="D7" s="9"/>
      <c r="E7" s="44"/>
      <c r="F7" s="86"/>
      <c r="G7" s="44"/>
      <c r="L7" s="29"/>
      <c r="M7" s="29"/>
      <c r="O7" s="31" t="s">
        <v>40</v>
      </c>
      <c r="P7" s="34">
        <v>0</v>
      </c>
      <c r="Q7" s="49">
        <v>130.25</v>
      </c>
      <c r="R7" s="49">
        <v>177.42</v>
      </c>
      <c r="S7" s="49">
        <v>212.37</v>
      </c>
      <c r="T7" s="49">
        <v>242.43</v>
      </c>
      <c r="U7" s="49">
        <v>252.19</v>
      </c>
      <c r="V7" s="49">
        <v>256.83999999999997</v>
      </c>
      <c r="W7" s="49">
        <v>319.10000000000002</v>
      </c>
      <c r="X7" s="49">
        <v>366.83</v>
      </c>
      <c r="Y7" s="49">
        <v>504.91</v>
      </c>
      <c r="Z7" s="49">
        <v>781.38</v>
      </c>
    </row>
    <row r="8" spans="2:26" ht="15" customHeight="1" x14ac:dyDescent="0.2">
      <c r="B8" s="12"/>
      <c r="C8" s="9"/>
      <c r="D8" s="9"/>
      <c r="E8" s="44"/>
      <c r="F8" s="86"/>
      <c r="G8" s="44"/>
      <c r="H8" s="8" t="s">
        <v>84</v>
      </c>
      <c r="L8" s="29"/>
      <c r="M8" s="29"/>
      <c r="O8" s="31" t="s">
        <v>60</v>
      </c>
      <c r="P8" s="34">
        <v>0</v>
      </c>
      <c r="Q8" s="49">
        <v>259.7</v>
      </c>
      <c r="R8" s="49">
        <v>353.75</v>
      </c>
      <c r="S8" s="49">
        <v>423.47</v>
      </c>
      <c r="T8" s="49">
        <v>483.35</v>
      </c>
      <c r="U8" s="49">
        <v>502.81</v>
      </c>
      <c r="V8" s="49">
        <v>512.15</v>
      </c>
      <c r="W8" s="49">
        <v>636.29999999999995</v>
      </c>
      <c r="X8" s="49">
        <v>731.49</v>
      </c>
      <c r="Y8" s="49">
        <v>1006.82</v>
      </c>
      <c r="Z8" s="49">
        <v>1558.11</v>
      </c>
    </row>
    <row r="9" spans="2:26" ht="15" customHeight="1" x14ac:dyDescent="0.2">
      <c r="B9" s="9"/>
      <c r="C9" s="9"/>
      <c r="D9" s="9"/>
      <c r="E9" s="44"/>
      <c r="F9" s="86"/>
      <c r="G9" s="44"/>
      <c r="L9" s="29"/>
      <c r="M9" s="29"/>
      <c r="O9" s="31" t="s">
        <v>58</v>
      </c>
      <c r="P9" s="34">
        <v>0</v>
      </c>
      <c r="Q9" s="49">
        <v>135.88</v>
      </c>
      <c r="R9" s="49">
        <v>185.11</v>
      </c>
      <c r="S9" s="49">
        <v>221.57</v>
      </c>
      <c r="T9" s="49">
        <v>252.87</v>
      </c>
      <c r="U9" s="49">
        <v>263.05</v>
      </c>
      <c r="V9" s="49">
        <v>267.94</v>
      </c>
      <c r="W9" s="49">
        <v>332.89</v>
      </c>
      <c r="X9" s="49">
        <v>382.71</v>
      </c>
      <c r="Y9" s="49">
        <v>526.71</v>
      </c>
      <c r="Z9" s="49">
        <v>814.57</v>
      </c>
    </row>
    <row r="10" spans="2:26" ht="15" customHeight="1" x14ac:dyDescent="0.2">
      <c r="B10" s="81" t="s">
        <v>41</v>
      </c>
      <c r="C10" s="81"/>
      <c r="D10" s="81"/>
      <c r="E10" s="41"/>
      <c r="F10" s="86"/>
      <c r="G10" s="41"/>
      <c r="L10" s="29"/>
      <c r="M10" s="29"/>
      <c r="O10" s="31" t="s">
        <v>59</v>
      </c>
      <c r="P10" s="34">
        <v>0</v>
      </c>
      <c r="Q10" s="49">
        <v>206.74</v>
      </c>
      <c r="R10" s="49">
        <v>281.60000000000002</v>
      </c>
      <c r="S10" s="49">
        <v>337.1</v>
      </c>
      <c r="T10" s="49">
        <v>384.77</v>
      </c>
      <c r="U10" s="49">
        <v>400.26</v>
      </c>
      <c r="V10" s="49">
        <v>407.69</v>
      </c>
      <c r="W10" s="49">
        <v>506.53</v>
      </c>
      <c r="X10" s="49">
        <v>582.30999999999995</v>
      </c>
      <c r="Y10" s="49">
        <v>801.47</v>
      </c>
      <c r="Z10" s="49">
        <v>1240.32</v>
      </c>
    </row>
    <row r="11" spans="2:26" x14ac:dyDescent="0.2">
      <c r="B11" s="37" t="s">
        <v>42</v>
      </c>
      <c r="C11" s="37" t="s">
        <v>43</v>
      </c>
      <c r="D11" s="37" t="s">
        <v>44</v>
      </c>
      <c r="E11" s="45"/>
      <c r="F11" s="86"/>
      <c r="G11" s="45"/>
      <c r="H11" s="32" t="str">
        <f>O7</f>
        <v>Ambulatorial</v>
      </c>
      <c r="I11" s="32" t="str">
        <f>O8</f>
        <v>Privativo</v>
      </c>
      <c r="J11" s="32" t="str">
        <f>O9</f>
        <v>Referência</v>
      </c>
      <c r="K11" s="32" t="str">
        <f>O10</f>
        <v>Semi privativo Plus</v>
      </c>
      <c r="L11" s="68" t="s">
        <v>45</v>
      </c>
      <c r="M11" s="69"/>
    </row>
    <row r="12" spans="2:26" ht="17.25" customHeight="1" x14ac:dyDescent="0.2">
      <c r="B12" s="11"/>
      <c r="C12" s="14"/>
      <c r="D12" s="15" t="e">
        <f>HLOOKUP(B7,H11:K12,2)-M12</f>
        <v>#N/A</v>
      </c>
      <c r="E12" s="46"/>
      <c r="F12" s="86"/>
      <c r="G12" s="46"/>
      <c r="H12" s="51">
        <f>HLOOKUP(C12,P6:Z7,2)</f>
        <v>0</v>
      </c>
      <c r="I12" s="51">
        <f>HLOOKUP(C12,P6:Z8,3)</f>
        <v>0</v>
      </c>
      <c r="J12" s="51">
        <f>HLOOKUP(C12,P6:Z9,4)</f>
        <v>0</v>
      </c>
      <c r="K12" s="51">
        <f>HLOOKUP(C12,P6:Z10,5)</f>
        <v>0</v>
      </c>
      <c r="L12" s="28" t="e">
        <f>VLOOKUP(B12,P13:Q47,2)</f>
        <v>#N/A</v>
      </c>
      <c r="M12" s="24" t="e">
        <f>J12-(J12*L12)</f>
        <v>#N/A</v>
      </c>
      <c r="O12" s="25" t="s">
        <v>55</v>
      </c>
      <c r="P12" s="25" t="s">
        <v>56</v>
      </c>
      <c r="Q12" s="26" t="s">
        <v>57</v>
      </c>
      <c r="S12" s="9" t="s">
        <v>46</v>
      </c>
    </row>
    <row r="13" spans="2:26" ht="20.25" customHeight="1" x14ac:dyDescent="0.2">
      <c r="B13" s="9"/>
      <c r="C13" s="9"/>
      <c r="D13" s="10"/>
      <c r="E13" s="42"/>
      <c r="F13" s="87"/>
      <c r="G13" s="42"/>
      <c r="L13" s="29"/>
      <c r="M13" s="29"/>
      <c r="O13" s="27">
        <v>5</v>
      </c>
      <c r="P13" s="20" t="s">
        <v>9</v>
      </c>
      <c r="Q13" s="22">
        <v>0.3</v>
      </c>
      <c r="S13" s="9" t="s">
        <v>47</v>
      </c>
    </row>
    <row r="14" spans="2:26" ht="15.6" customHeight="1" x14ac:dyDescent="0.2">
      <c r="B14" s="37" t="s">
        <v>37</v>
      </c>
      <c r="C14" s="37" t="s">
        <v>43</v>
      </c>
      <c r="D14" s="37" t="s">
        <v>44</v>
      </c>
      <c r="E14" s="45"/>
      <c r="F14" s="48" t="s">
        <v>65</v>
      </c>
      <c r="G14" s="45"/>
      <c r="H14" s="32" t="str">
        <f>O7</f>
        <v>Ambulatorial</v>
      </c>
      <c r="I14" s="32" t="str">
        <f>O8</f>
        <v>Privativo</v>
      </c>
      <c r="J14" s="32" t="str">
        <f>O9</f>
        <v>Referência</v>
      </c>
      <c r="K14" s="32" t="str">
        <f>O10</f>
        <v>Semi privativo Plus</v>
      </c>
      <c r="L14" s="29"/>
      <c r="M14" s="29"/>
      <c r="O14" s="27">
        <v>6</v>
      </c>
      <c r="P14" s="20" t="s">
        <v>11</v>
      </c>
      <c r="Q14" s="22">
        <v>0.3</v>
      </c>
      <c r="S14" s="9" t="s">
        <v>48</v>
      </c>
    </row>
    <row r="15" spans="2:26" ht="15.6" customHeight="1" x14ac:dyDescent="0.2">
      <c r="B15" s="16"/>
      <c r="C15" s="14"/>
      <c r="D15" s="17">
        <f>HLOOKUP($B$7,$H$14:$K$22,2)</f>
        <v>0</v>
      </c>
      <c r="E15" s="46"/>
      <c r="F15" s="82" t="str">
        <f>VLOOKUP(B7,S18:T21,2)</f>
        <v>* Emergência e Urgência: 24 horas;
* Consultas médicas eletivas e exames de baixa complexidade: 30 dias;
* Fisiatria: 60 dias;
* Exames de sangue, urina, fezes, microbiologia, radiologia simples: 30 dias;
* Exames e procedimentos complementares: 60 dias;
* Atendimento e internações psiquiátricas: 60 dias;
* Internações hospitalares: 60 dias;
* Eventos obstétricos a termo: 300 dias;
* Todos os demais casos de cobertura: 180 dias.</v>
      </c>
      <c r="G15" s="46"/>
      <c r="H15" s="52">
        <f t="shared" ref="H15:H22" si="0">HLOOKUP(C15,$P$6:$Z$7,2)*0.8</f>
        <v>0</v>
      </c>
      <c r="I15" s="52">
        <f>HLOOKUP(C15,$P$6:$Z$8,3)*0.8</f>
        <v>0</v>
      </c>
      <c r="J15" s="52">
        <f>HLOOKUP(C15,$P$6:$Z$9,4)*0.8</f>
        <v>0</v>
      </c>
      <c r="K15" s="52">
        <f>HLOOKUP(C15,$P$6:$Z$10,5)*0.8</f>
        <v>0</v>
      </c>
      <c r="L15" s="29"/>
      <c r="M15" s="29"/>
      <c r="O15" s="27">
        <v>8</v>
      </c>
      <c r="P15" s="20" t="s">
        <v>36</v>
      </c>
      <c r="Q15" s="22">
        <v>0.4</v>
      </c>
      <c r="S15" s="9" t="s">
        <v>49</v>
      </c>
    </row>
    <row r="16" spans="2:26" ht="15.6" customHeight="1" x14ac:dyDescent="0.2">
      <c r="B16" s="16"/>
      <c r="C16" s="14"/>
      <c r="D16" s="17">
        <f>HLOOKUP($B$7,$H$14:$K$22,3)</f>
        <v>0</v>
      </c>
      <c r="E16" s="46"/>
      <c r="F16" s="83"/>
      <c r="G16" s="46"/>
      <c r="H16" s="52">
        <f t="shared" si="0"/>
        <v>0</v>
      </c>
      <c r="I16" s="52">
        <f t="shared" ref="I16:I22" si="1">HLOOKUP(C16,$P$6:$Z$8,3)*0.8</f>
        <v>0</v>
      </c>
      <c r="J16" s="52">
        <f>HLOOKUP(C16,P6:Z9,4)*0.8</f>
        <v>0</v>
      </c>
      <c r="K16" s="52">
        <f t="shared" ref="K16:K22" si="2">HLOOKUP(C16,$P$6:$Z$10,5)*0.8</f>
        <v>0</v>
      </c>
      <c r="L16" s="29"/>
      <c r="M16" s="29"/>
      <c r="O16" s="27">
        <v>4</v>
      </c>
      <c r="P16" s="20" t="s">
        <v>8</v>
      </c>
      <c r="Q16" s="22">
        <v>0.2</v>
      </c>
    </row>
    <row r="17" spans="2:21" ht="15.6" customHeight="1" x14ac:dyDescent="0.2">
      <c r="B17" s="16"/>
      <c r="C17" s="14"/>
      <c r="D17" s="17">
        <f>HLOOKUP($B$7,$H$14:$K$22,4)</f>
        <v>0</v>
      </c>
      <c r="E17" s="46"/>
      <c r="F17" s="83"/>
      <c r="G17" s="46"/>
      <c r="H17" s="52">
        <f t="shared" si="0"/>
        <v>0</v>
      </c>
      <c r="I17" s="52">
        <f t="shared" si="1"/>
        <v>0</v>
      </c>
      <c r="J17" s="52">
        <f>HLOOKUP(C17,P6:Z9,4)*0.8</f>
        <v>0</v>
      </c>
      <c r="K17" s="52">
        <f t="shared" si="2"/>
        <v>0</v>
      </c>
      <c r="L17" s="29"/>
      <c r="M17" s="29"/>
      <c r="N17" s="29"/>
      <c r="O17" s="27">
        <v>2</v>
      </c>
      <c r="P17" s="20" t="s">
        <v>1</v>
      </c>
      <c r="Q17" s="22">
        <v>0.1</v>
      </c>
    </row>
    <row r="18" spans="2:21" ht="15.6" customHeight="1" x14ac:dyDescent="0.2">
      <c r="B18" s="16"/>
      <c r="C18" s="14"/>
      <c r="D18" s="17">
        <f>HLOOKUP($B$7,$H$14:$K$22,5)</f>
        <v>0</v>
      </c>
      <c r="E18" s="46"/>
      <c r="F18" s="83"/>
      <c r="G18" s="46"/>
      <c r="H18" s="52">
        <f t="shared" si="0"/>
        <v>0</v>
      </c>
      <c r="I18" s="52">
        <f t="shared" si="1"/>
        <v>0</v>
      </c>
      <c r="J18" s="52">
        <f>HLOOKUP(C18,P6:Z9,4)*0.8</f>
        <v>0</v>
      </c>
      <c r="K18" s="52">
        <f t="shared" si="2"/>
        <v>0</v>
      </c>
      <c r="L18" s="29"/>
      <c r="M18" s="29"/>
      <c r="N18" s="29"/>
      <c r="O18" s="27">
        <v>3</v>
      </c>
      <c r="P18" s="20" t="s">
        <v>3</v>
      </c>
      <c r="Q18" s="22">
        <v>0.2</v>
      </c>
      <c r="S18" s="40" t="str">
        <f>O7</f>
        <v>Ambulatorial</v>
      </c>
      <c r="T18" s="39" t="s">
        <v>61</v>
      </c>
      <c r="U18" s="39" t="s">
        <v>67</v>
      </c>
    </row>
    <row r="19" spans="2:21" ht="15.6" customHeight="1" x14ac:dyDescent="0.2">
      <c r="B19" s="16"/>
      <c r="C19" s="14"/>
      <c r="D19" s="17">
        <f>HLOOKUP($B$7,$H$14:$K$22,6)</f>
        <v>0</v>
      </c>
      <c r="E19" s="46"/>
      <c r="F19" s="83"/>
      <c r="G19" s="46"/>
      <c r="H19" s="52">
        <f t="shared" si="0"/>
        <v>0</v>
      </c>
      <c r="I19" s="52">
        <f t="shared" si="1"/>
        <v>0</v>
      </c>
      <c r="J19" s="52">
        <f>HLOOKUP(C19,P6:Z9,4)*0.8</f>
        <v>0</v>
      </c>
      <c r="K19" s="52">
        <f t="shared" si="2"/>
        <v>0</v>
      </c>
      <c r="L19" s="29"/>
      <c r="M19" s="29"/>
      <c r="N19" s="29"/>
      <c r="O19" s="27">
        <v>2</v>
      </c>
      <c r="P19" s="20" t="s">
        <v>2</v>
      </c>
      <c r="Q19" s="22">
        <v>0.1</v>
      </c>
      <c r="S19" s="40" t="str">
        <f t="shared" ref="S19:S21" si="3">O8</f>
        <v>Privativo</v>
      </c>
      <c r="T19" s="39" t="s">
        <v>66</v>
      </c>
      <c r="U19" s="39" t="s">
        <v>69</v>
      </c>
    </row>
    <row r="20" spans="2:21" ht="15.6" customHeight="1" x14ac:dyDescent="0.2">
      <c r="B20" s="16"/>
      <c r="C20" s="14"/>
      <c r="D20" s="17">
        <f>HLOOKUP($B$7,$H$14:$K$22,7)</f>
        <v>0</v>
      </c>
      <c r="E20" s="46"/>
      <c r="F20" s="83"/>
      <c r="G20" s="46"/>
      <c r="H20" s="52">
        <f t="shared" si="0"/>
        <v>0</v>
      </c>
      <c r="I20" s="52">
        <f t="shared" si="1"/>
        <v>0</v>
      </c>
      <c r="J20" s="52">
        <f>HLOOKUP(C20,P6:Z9,4)*0.8</f>
        <v>0</v>
      </c>
      <c r="K20" s="52">
        <f t="shared" si="2"/>
        <v>0</v>
      </c>
      <c r="L20" s="29"/>
      <c r="M20" s="29"/>
      <c r="N20" s="29"/>
      <c r="O20" s="27">
        <v>1</v>
      </c>
      <c r="P20" s="19" t="s">
        <v>0</v>
      </c>
      <c r="Q20" s="22">
        <v>0.1</v>
      </c>
      <c r="S20" s="40" t="str">
        <f t="shared" si="3"/>
        <v>Referência</v>
      </c>
      <c r="T20" s="39" t="s">
        <v>62</v>
      </c>
      <c r="U20" s="39" t="s">
        <v>68</v>
      </c>
    </row>
    <row r="21" spans="2:21" ht="15.6" customHeight="1" x14ac:dyDescent="0.2">
      <c r="B21" s="16"/>
      <c r="C21" s="14"/>
      <c r="D21" s="17">
        <f>HLOOKUP($B$7,$H$14:$K$22,8)</f>
        <v>0</v>
      </c>
      <c r="E21" s="46"/>
      <c r="F21" s="83"/>
      <c r="G21" s="46"/>
      <c r="H21" s="52">
        <f t="shared" si="0"/>
        <v>0</v>
      </c>
      <c r="I21" s="52">
        <f t="shared" si="1"/>
        <v>0</v>
      </c>
      <c r="J21" s="52">
        <f>HLOOKUP(C21,P6:Z9,4)*0.8</f>
        <v>0</v>
      </c>
      <c r="K21" s="52">
        <f t="shared" si="2"/>
        <v>0</v>
      </c>
      <c r="L21" s="29"/>
      <c r="M21" s="29"/>
      <c r="N21" s="29"/>
      <c r="O21" s="27">
        <v>6</v>
      </c>
      <c r="P21" s="20" t="s">
        <v>10</v>
      </c>
      <c r="Q21" s="22">
        <v>0.3</v>
      </c>
      <c r="S21" s="40" t="str">
        <f t="shared" si="3"/>
        <v>Semi privativo Plus</v>
      </c>
      <c r="T21" s="39" t="s">
        <v>63</v>
      </c>
      <c r="U21" s="39" t="s">
        <v>70</v>
      </c>
    </row>
    <row r="22" spans="2:21" ht="15.6" customHeight="1" x14ac:dyDescent="0.2">
      <c r="B22" s="16"/>
      <c r="C22" s="14"/>
      <c r="D22" s="17">
        <f>HLOOKUP($B$7,$H$14:$K$22,9)</f>
        <v>0</v>
      </c>
      <c r="E22" s="46"/>
      <c r="F22" s="83"/>
      <c r="G22" s="46"/>
      <c r="H22" s="52">
        <f t="shared" si="0"/>
        <v>0</v>
      </c>
      <c r="I22" s="52">
        <f t="shared" si="1"/>
        <v>0</v>
      </c>
      <c r="J22" s="52">
        <f>HLOOKUP(C22,P6:Z9,4)*0.8</f>
        <v>0</v>
      </c>
      <c r="K22" s="52">
        <f t="shared" si="2"/>
        <v>0</v>
      </c>
      <c r="L22" s="29"/>
      <c r="M22" s="29"/>
      <c r="N22" s="29"/>
      <c r="O22" s="27">
        <v>8</v>
      </c>
      <c r="P22" s="20" t="s">
        <v>30</v>
      </c>
      <c r="Q22" s="22">
        <v>0.4</v>
      </c>
    </row>
    <row r="23" spans="2:21" ht="15" customHeight="1" thickBot="1" x14ac:dyDescent="0.25">
      <c r="B23" s="9"/>
      <c r="C23" s="13"/>
      <c r="D23" s="10"/>
      <c r="E23" s="42"/>
      <c r="F23" s="83"/>
      <c r="G23" s="42"/>
      <c r="L23" s="29"/>
      <c r="M23" s="29"/>
      <c r="O23" s="27">
        <v>8</v>
      </c>
      <c r="P23" s="20" t="s">
        <v>15</v>
      </c>
      <c r="Q23" s="22">
        <v>0.4</v>
      </c>
    </row>
    <row r="24" spans="2:21" ht="33" customHeight="1" thickBot="1" x14ac:dyDescent="0.25">
      <c r="B24" s="38" t="s">
        <v>50</v>
      </c>
      <c r="C24" s="79" t="e">
        <f>SUM(D12:D22)</f>
        <v>#N/A</v>
      </c>
      <c r="D24" s="80"/>
      <c r="E24" s="43"/>
      <c r="F24" s="84"/>
      <c r="G24" s="43"/>
      <c r="L24" s="29"/>
      <c r="M24" s="29"/>
      <c r="O24" s="27">
        <v>8</v>
      </c>
      <c r="P24" s="20" t="s">
        <v>14</v>
      </c>
      <c r="Q24" s="22">
        <v>0.4</v>
      </c>
    </row>
    <row r="25" spans="2:21" ht="15.6" customHeight="1" x14ac:dyDescent="0.2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O25" s="27">
        <v>8</v>
      </c>
      <c r="P25" s="20" t="s">
        <v>28</v>
      </c>
      <c r="Q25" s="22">
        <v>0.4</v>
      </c>
    </row>
    <row r="26" spans="2:21" ht="15.6" customHeight="1" x14ac:dyDescent="0.2">
      <c r="H26" s="29"/>
      <c r="I26" s="18"/>
      <c r="J26" s="18"/>
      <c r="K26" s="18"/>
      <c r="L26" s="18"/>
      <c r="O26" s="27">
        <v>8</v>
      </c>
      <c r="P26" s="20" t="s">
        <v>51</v>
      </c>
      <c r="Q26" s="22">
        <v>0.4</v>
      </c>
    </row>
    <row r="27" spans="2:21" ht="15.6" customHeight="1" x14ac:dyDescent="0.2">
      <c r="H27" s="29"/>
      <c r="I27" s="18"/>
      <c r="J27" s="18"/>
      <c r="K27" s="18"/>
      <c r="L27" s="18"/>
      <c r="O27" s="27">
        <v>8</v>
      </c>
      <c r="P27" s="20" t="s">
        <v>33</v>
      </c>
      <c r="Q27" s="22">
        <v>0.4</v>
      </c>
    </row>
    <row r="28" spans="2:21" ht="15.6" customHeight="1" x14ac:dyDescent="0.2">
      <c r="H28" s="29" t="s">
        <v>77</v>
      </c>
      <c r="O28" s="27">
        <v>8</v>
      </c>
      <c r="P28" s="20" t="s">
        <v>34</v>
      </c>
      <c r="Q28" s="22">
        <v>0.4</v>
      </c>
    </row>
    <row r="29" spans="2:21" ht="15.6" customHeight="1" x14ac:dyDescent="0.2">
      <c r="G29" s="53" t="s">
        <v>75</v>
      </c>
      <c r="H29" s="56"/>
      <c r="I29" s="18">
        <v>5811</v>
      </c>
      <c r="J29" s="55" t="e">
        <f>D12</f>
        <v>#N/A</v>
      </c>
      <c r="O29" s="27">
        <v>8</v>
      </c>
      <c r="P29" s="20" t="s">
        <v>26</v>
      </c>
      <c r="Q29" s="22">
        <v>0.4</v>
      </c>
    </row>
    <row r="30" spans="2:21" ht="15.6" customHeight="1" x14ac:dyDescent="0.2">
      <c r="G30" s="54" t="s">
        <v>76</v>
      </c>
      <c r="H30" s="54"/>
      <c r="I30" s="18">
        <v>5812</v>
      </c>
      <c r="J30" s="55" t="e">
        <f>HLOOKUP(B7,H11:K12,2)-J29</f>
        <v>#N/A</v>
      </c>
      <c r="L30" s="55"/>
      <c r="O30" s="27">
        <v>8</v>
      </c>
      <c r="P30" s="20" t="s">
        <v>29</v>
      </c>
      <c r="Q30" s="22">
        <v>0.4</v>
      </c>
    </row>
    <row r="31" spans="2:21" ht="15.6" customHeight="1" x14ac:dyDescent="0.2">
      <c r="G31" s="54" t="s">
        <v>72</v>
      </c>
      <c r="H31" s="54"/>
      <c r="I31" s="18">
        <v>3943</v>
      </c>
      <c r="J31" s="55">
        <f>SUM(D15:D22)</f>
        <v>0</v>
      </c>
      <c r="O31" s="27">
        <v>8</v>
      </c>
      <c r="P31" s="20" t="s">
        <v>31</v>
      </c>
      <c r="Q31" s="22">
        <v>0.4</v>
      </c>
    </row>
    <row r="32" spans="2:21" ht="15.6" customHeight="1" x14ac:dyDescent="0.2">
      <c r="G32" s="54" t="s">
        <v>73</v>
      </c>
      <c r="H32" s="54"/>
      <c r="I32" s="18">
        <v>3945</v>
      </c>
      <c r="J32" s="55">
        <f>J31/8*2</f>
        <v>0</v>
      </c>
      <c r="O32" s="27">
        <v>8</v>
      </c>
      <c r="P32" s="20" t="s">
        <v>16</v>
      </c>
      <c r="Q32" s="22">
        <v>0.4</v>
      </c>
    </row>
    <row r="33" spans="7:17" ht="15.6" customHeight="1" x14ac:dyDescent="0.2">
      <c r="G33" s="54" t="s">
        <v>74</v>
      </c>
      <c r="H33" s="54"/>
      <c r="I33" s="18">
        <v>3920</v>
      </c>
      <c r="J33" s="55" t="e">
        <f>SUM(J29:J32)</f>
        <v>#N/A</v>
      </c>
      <c r="K33" s="55"/>
      <c r="O33" s="27">
        <v>8</v>
      </c>
      <c r="P33" s="20" t="s">
        <v>27</v>
      </c>
      <c r="Q33" s="22">
        <v>0.4</v>
      </c>
    </row>
    <row r="34" spans="7:17" ht="15.6" customHeight="1" x14ac:dyDescent="0.2">
      <c r="H34" s="18"/>
      <c r="O34" s="27">
        <v>8</v>
      </c>
      <c r="P34" s="20" t="s">
        <v>32</v>
      </c>
      <c r="Q34" s="22">
        <v>0.4</v>
      </c>
    </row>
    <row r="35" spans="7:17" ht="15.6" customHeight="1" x14ac:dyDescent="0.2">
      <c r="H35" s="18"/>
      <c r="O35" s="27">
        <v>8</v>
      </c>
      <c r="P35" s="20" t="s">
        <v>35</v>
      </c>
      <c r="Q35" s="22">
        <v>0.4</v>
      </c>
    </row>
    <row r="36" spans="7:17" ht="15.6" customHeight="1" x14ac:dyDescent="0.2">
      <c r="H36" s="18"/>
      <c r="O36" s="27">
        <v>4</v>
      </c>
      <c r="P36" s="20" t="s">
        <v>4</v>
      </c>
      <c r="Q36" s="22">
        <v>0.2</v>
      </c>
    </row>
    <row r="37" spans="7:17" ht="15.6" customHeight="1" x14ac:dyDescent="0.2">
      <c r="H37" s="29"/>
      <c r="I37" s="18" t="s">
        <v>79</v>
      </c>
      <c r="O37" s="27">
        <v>4</v>
      </c>
      <c r="P37" s="20" t="s">
        <v>52</v>
      </c>
      <c r="Q37" s="22">
        <v>0.2</v>
      </c>
    </row>
    <row r="38" spans="7:17" ht="15.6" customHeight="1" x14ac:dyDescent="0.2">
      <c r="G38" s="21" t="s">
        <v>78</v>
      </c>
      <c r="H38" s="29"/>
      <c r="I38" s="57">
        <v>8</v>
      </c>
      <c r="O38" s="27">
        <v>5</v>
      </c>
      <c r="P38" s="20" t="s">
        <v>53</v>
      </c>
      <c r="Q38" s="22">
        <v>0.3</v>
      </c>
    </row>
    <row r="39" spans="7:17" ht="15.6" customHeight="1" x14ac:dyDescent="0.2">
      <c r="H39" s="29" t="s">
        <v>77</v>
      </c>
      <c r="O39" s="27">
        <v>6</v>
      </c>
      <c r="P39" s="20" t="s">
        <v>54</v>
      </c>
      <c r="Q39" s="22">
        <v>0.3</v>
      </c>
    </row>
    <row r="40" spans="7:17" ht="15.6" customHeight="1" x14ac:dyDescent="0.2">
      <c r="G40" s="53" t="s">
        <v>75</v>
      </c>
      <c r="H40" s="56"/>
      <c r="I40" s="18">
        <v>5811</v>
      </c>
      <c r="J40" s="55">
        <f>HLOOKUP(B7,H11:K12,2)-J41</f>
        <v>0</v>
      </c>
      <c r="O40" s="27">
        <v>6</v>
      </c>
      <c r="P40" s="20" t="s">
        <v>86</v>
      </c>
      <c r="Q40" s="22">
        <v>0.3</v>
      </c>
    </row>
    <row r="41" spans="7:17" ht="15.6" customHeight="1" x14ac:dyDescent="0.2">
      <c r="G41" s="54" t="s">
        <v>76</v>
      </c>
      <c r="H41" s="54"/>
      <c r="I41" s="18">
        <v>5812</v>
      </c>
      <c r="J41" s="55">
        <f>HLOOKUP(B7,H11:K12,2)*K41</f>
        <v>0</v>
      </c>
      <c r="K41" s="58">
        <f>IF(I38&lt;25,I38*0.02,0.5)</f>
        <v>0.16</v>
      </c>
      <c r="O41" s="27">
        <v>7</v>
      </c>
      <c r="P41" s="20" t="s">
        <v>85</v>
      </c>
      <c r="Q41" s="22">
        <v>0.4</v>
      </c>
    </row>
    <row r="42" spans="7:17" ht="15.6" customHeight="1" x14ac:dyDescent="0.2">
      <c r="G42" s="54" t="s">
        <v>72</v>
      </c>
      <c r="H42" s="54"/>
      <c r="I42" s="18">
        <v>3943</v>
      </c>
      <c r="J42" s="55">
        <f>SUM(D15:D22)</f>
        <v>0</v>
      </c>
      <c r="O42" s="27">
        <v>4</v>
      </c>
      <c r="P42" s="20" t="s">
        <v>5</v>
      </c>
      <c r="Q42" s="22">
        <v>0.2</v>
      </c>
    </row>
    <row r="43" spans="7:17" ht="15.6" customHeight="1" x14ac:dyDescent="0.2">
      <c r="G43" s="54" t="s">
        <v>73</v>
      </c>
      <c r="H43" s="54"/>
      <c r="I43" s="18">
        <v>3945</v>
      </c>
      <c r="J43" s="55">
        <f>J42/8*2</f>
        <v>0</v>
      </c>
      <c r="K43" s="29"/>
      <c r="L43" s="29"/>
      <c r="M43" s="29"/>
      <c r="N43" s="29"/>
      <c r="O43" s="27">
        <v>6</v>
      </c>
      <c r="P43" s="20" t="s">
        <v>12</v>
      </c>
      <c r="Q43" s="22">
        <v>0.3</v>
      </c>
    </row>
    <row r="44" spans="7:17" ht="15.6" customHeight="1" x14ac:dyDescent="0.2">
      <c r="G44" s="54" t="s">
        <v>74</v>
      </c>
      <c r="H44" s="54"/>
      <c r="I44" s="18">
        <v>3920</v>
      </c>
      <c r="J44" s="55">
        <f>SUM(J40:J43)</f>
        <v>0</v>
      </c>
      <c r="K44" s="29"/>
      <c r="L44" s="29"/>
      <c r="M44" s="29"/>
      <c r="N44" s="29"/>
      <c r="O44" s="27">
        <v>3</v>
      </c>
      <c r="P44" s="20" t="s">
        <v>6</v>
      </c>
      <c r="Q44" s="22">
        <v>0.2</v>
      </c>
    </row>
    <row r="45" spans="7:17" ht="15.6" customHeight="1" x14ac:dyDescent="0.2">
      <c r="H45" s="29"/>
      <c r="I45" s="29"/>
      <c r="J45" s="29"/>
      <c r="K45" s="29"/>
      <c r="L45" s="29"/>
      <c r="M45" s="29"/>
      <c r="N45" s="29"/>
      <c r="O45" s="27">
        <v>7</v>
      </c>
      <c r="P45" s="20" t="s">
        <v>24</v>
      </c>
      <c r="Q45" s="22">
        <v>0.4</v>
      </c>
    </row>
    <row r="46" spans="7:17" ht="15.6" customHeight="1" x14ac:dyDescent="0.2">
      <c r="H46" s="29"/>
      <c r="I46" s="29"/>
      <c r="J46" s="29"/>
      <c r="K46" s="29"/>
      <c r="L46" s="29"/>
      <c r="M46" s="29"/>
      <c r="N46" s="29"/>
      <c r="O46" s="27">
        <v>8</v>
      </c>
      <c r="P46" s="20" t="s">
        <v>25</v>
      </c>
      <c r="Q46" s="22">
        <v>0.4</v>
      </c>
    </row>
    <row r="47" spans="7:17" ht="15" x14ac:dyDescent="0.2">
      <c r="O47" s="27">
        <v>3</v>
      </c>
      <c r="P47" s="20" t="s">
        <v>7</v>
      </c>
      <c r="Q47" s="22">
        <v>0.2</v>
      </c>
    </row>
  </sheetData>
  <sortState ref="O13:Q47">
    <sortCondition ref="P13:P47"/>
  </sortState>
  <dataConsolidate/>
  <mergeCells count="6">
    <mergeCell ref="L11:M11"/>
    <mergeCell ref="B2:D4"/>
    <mergeCell ref="C24:D24"/>
    <mergeCell ref="B10:D10"/>
    <mergeCell ref="F15:F24"/>
    <mergeCell ref="F3:F13"/>
  </mergeCells>
  <phoneticPr fontId="2" type="noConversion"/>
  <conditionalFormatting sqref="B8">
    <cfRule type="cellIs" dxfId="1" priority="1" stopIfTrue="1" operator="equal">
      <formula>0</formula>
    </cfRule>
  </conditionalFormatting>
  <dataValidations count="4">
    <dataValidation type="whole" allowBlank="1" showInputMessage="1" showErrorMessage="1" errorTitle="Idade acima de 200 anos" error="Favor verificar e corrigir esta informação" sqref="C15:C22 C12">
      <formula1>0</formula1>
      <formula2>200</formula2>
    </dataValidation>
    <dataValidation type="list" allowBlank="1" showInputMessage="1" showErrorMessage="1" sqref="B7">
      <formula1>$O$7:$O$10</formula1>
    </dataValidation>
    <dataValidation type="list" allowBlank="1" showInputMessage="1" showErrorMessage="1" sqref="B15:B22">
      <formula1>$S$12:$S$15</formula1>
    </dataValidation>
    <dataValidation type="list" allowBlank="1" showErrorMessage="1" errorTitle="Erro de Cargo" error="Selecione um cargo da lista" promptTitle="Selecione seu cargo" prompt="Selecione seu cargo" sqref="B12">
      <formula1>$P$13:$P$47</formula1>
    </dataValidation>
  </dataValidations>
  <printOptions horizontalCentered="1" verticalCentered="1"/>
  <pageMargins left="0" right="0" top="0" bottom="0" header="0.51181102362204722" footer="0.51181102362204722"/>
  <pageSetup paperSize="9" scale="76" orientation="portrait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B1:AG49"/>
  <sheetViews>
    <sheetView workbookViewId="0">
      <selection activeCell="AJ20" sqref="AJ20"/>
    </sheetView>
  </sheetViews>
  <sheetFormatPr defaultColWidth="11.5703125" defaultRowHeight="12.75" x14ac:dyDescent="0.2"/>
  <cols>
    <col min="1" max="1" width="9.140625" style="8" customWidth="1"/>
    <col min="2" max="2" width="39" style="18" customWidth="1"/>
    <col min="3" max="3" width="11.5703125" style="8" customWidth="1"/>
    <col min="4" max="4" width="15.28515625" style="21" customWidth="1"/>
    <col min="5" max="5" width="3.7109375" style="21" customWidth="1"/>
    <col min="6" max="6" width="47.7109375" style="21" customWidth="1"/>
    <col min="7" max="7" width="4.7109375" style="21" customWidth="1"/>
    <col min="8" max="8" width="12" style="8" hidden="1" customWidth="1"/>
    <col min="9" max="9" width="11" style="8" hidden="1" customWidth="1"/>
    <col min="10" max="10" width="11.5703125" style="8" hidden="1" customWidth="1"/>
    <col min="11" max="11" width="17.85546875" style="8" hidden="1" customWidth="1"/>
    <col min="12" max="14" width="11.5703125" style="8" hidden="1" customWidth="1"/>
    <col min="15" max="15" width="18.42578125" style="8" hidden="1" customWidth="1"/>
    <col min="16" max="16" width="47" style="8" hidden="1" customWidth="1"/>
    <col min="17" max="26" width="11.5703125" style="8" hidden="1" customWidth="1"/>
    <col min="27" max="27" width="15.42578125" style="8" hidden="1" customWidth="1"/>
    <col min="28" max="33" width="11.5703125" style="8" hidden="1" customWidth="1"/>
    <col min="34" max="37" width="11.5703125" style="8" customWidth="1"/>
    <col min="38" max="16384" width="11.5703125" style="8"/>
  </cols>
  <sheetData>
    <row r="1" spans="2:26" ht="13.5" thickBot="1" x14ac:dyDescent="0.25"/>
    <row r="2" spans="2:26" ht="15" customHeight="1" x14ac:dyDescent="0.2">
      <c r="B2" s="88" t="s">
        <v>38</v>
      </c>
      <c r="C2" s="89"/>
      <c r="D2" s="90"/>
      <c r="E2" s="36"/>
      <c r="F2" s="48" t="s">
        <v>64</v>
      </c>
      <c r="G2" s="36"/>
      <c r="H2" s="35"/>
      <c r="I2" s="35"/>
      <c r="J2" s="35"/>
      <c r="K2" s="35"/>
      <c r="L2" s="35"/>
    </row>
    <row r="3" spans="2:26" ht="15" customHeight="1" x14ac:dyDescent="0.2">
      <c r="B3" s="91"/>
      <c r="C3" s="92"/>
      <c r="D3" s="93"/>
      <c r="E3" s="36"/>
      <c r="F3" s="85" t="str">
        <f>VLOOKUP(B7,S21:U24,3)</f>
        <v>* Consultas com médicos assistentes cooperados;
* Serviços de urgência nos pronto atendimentos e demais credenciados;
* Serviços ambulatoriais;
* Cobertura Nacional- Exceto Hospital Mãe de Deus e Moinhos de Vento;
* Internações hospitalares em quarto semi-privativo;
* Exames necessários ao diagnóstico;
* Beneficiários: colaboradores e dependentes (esposo(a); companheiro(a), legalmente habilitados; filhos(as)
até 21 anos ou 24 anos se cursando ensino superior; Enteados e tutelados);
* Prazo de Adesão: até 90 dias após a data de admissão (sem carência).</v>
      </c>
      <c r="G3" s="36"/>
      <c r="H3" s="35"/>
      <c r="I3" s="35"/>
      <c r="J3" s="35"/>
      <c r="K3" s="35"/>
      <c r="L3" s="35"/>
    </row>
    <row r="4" spans="2:26" ht="15.6" customHeight="1" thickBot="1" x14ac:dyDescent="0.25">
      <c r="B4" s="94"/>
      <c r="C4" s="95"/>
      <c r="D4" s="96"/>
      <c r="E4" s="36"/>
      <c r="F4" s="86"/>
      <c r="G4" s="36"/>
      <c r="H4" s="35"/>
      <c r="I4" s="35"/>
      <c r="J4" s="35"/>
      <c r="K4" s="35"/>
      <c r="L4" s="35"/>
      <c r="Q4" s="50" t="s">
        <v>71</v>
      </c>
    </row>
    <row r="5" spans="2:26" ht="15.6" customHeight="1" x14ac:dyDescent="0.2">
      <c r="B5" s="36"/>
      <c r="C5" s="36"/>
      <c r="D5" s="36"/>
      <c r="E5" s="36"/>
      <c r="F5" s="86"/>
      <c r="G5" s="36"/>
      <c r="H5" s="35"/>
      <c r="I5" s="35"/>
      <c r="J5" s="35"/>
      <c r="K5" s="35"/>
      <c r="L5" s="35"/>
    </row>
    <row r="6" spans="2:26" ht="15.75" customHeight="1" x14ac:dyDescent="0.2">
      <c r="B6" s="30" t="s">
        <v>39</v>
      </c>
      <c r="D6" s="8"/>
      <c r="E6" s="8"/>
      <c r="F6" s="86"/>
      <c r="G6" s="8"/>
      <c r="L6" s="29"/>
      <c r="M6" s="29"/>
      <c r="P6" s="33">
        <v>0</v>
      </c>
      <c r="Q6" s="33">
        <v>1E-4</v>
      </c>
      <c r="R6" s="23">
        <v>19</v>
      </c>
      <c r="S6" s="23">
        <v>24</v>
      </c>
      <c r="T6" s="23">
        <v>29</v>
      </c>
      <c r="U6" s="23">
        <v>34</v>
      </c>
      <c r="V6" s="23">
        <v>39</v>
      </c>
      <c r="W6" s="23">
        <v>44</v>
      </c>
      <c r="X6" s="23">
        <v>49</v>
      </c>
      <c r="Y6" s="23">
        <v>54</v>
      </c>
      <c r="Z6" s="23">
        <v>59</v>
      </c>
    </row>
    <row r="7" spans="2:26" ht="15" customHeight="1" x14ac:dyDescent="0.2">
      <c r="B7" s="47" t="s">
        <v>58</v>
      </c>
      <c r="C7" s="9"/>
      <c r="D7" s="9"/>
      <c r="E7" s="44"/>
      <c r="F7" s="86"/>
      <c r="G7" s="44"/>
      <c r="I7" s="67"/>
      <c r="L7" s="29"/>
      <c r="M7" s="29"/>
      <c r="O7" s="31" t="s">
        <v>40</v>
      </c>
      <c r="P7" s="34">
        <v>0</v>
      </c>
      <c r="Q7" s="49">
        <v>130.25</v>
      </c>
      <c r="R7" s="49">
        <v>177.42</v>
      </c>
      <c r="S7" s="49">
        <v>212.37</v>
      </c>
      <c r="T7" s="49">
        <v>242.43</v>
      </c>
      <c r="U7" s="49">
        <v>252.19</v>
      </c>
      <c r="V7" s="49">
        <v>256.83999999999997</v>
      </c>
      <c r="W7" s="49">
        <v>319.10000000000002</v>
      </c>
      <c r="X7" s="49">
        <v>366.83</v>
      </c>
      <c r="Y7" s="49">
        <v>504.91</v>
      </c>
      <c r="Z7" s="49">
        <v>781.38</v>
      </c>
    </row>
    <row r="8" spans="2:26" ht="15" customHeight="1" x14ac:dyDescent="0.2">
      <c r="B8" s="12"/>
      <c r="C8" s="9"/>
      <c r="D8" s="9"/>
      <c r="E8" s="44"/>
      <c r="F8" s="86"/>
      <c r="G8" s="44"/>
      <c r="I8" s="67"/>
      <c r="L8" s="29"/>
      <c r="M8" s="29"/>
      <c r="O8" s="31" t="s">
        <v>60</v>
      </c>
      <c r="P8" s="34">
        <v>0</v>
      </c>
      <c r="Q8" s="49">
        <v>259.7</v>
      </c>
      <c r="R8" s="49">
        <v>353.75</v>
      </c>
      <c r="S8" s="49">
        <v>423.47</v>
      </c>
      <c r="T8" s="49">
        <v>483.35</v>
      </c>
      <c r="U8" s="49">
        <v>502.81</v>
      </c>
      <c r="V8" s="49">
        <v>512.15</v>
      </c>
      <c r="W8" s="49">
        <v>636.29999999999995</v>
      </c>
      <c r="X8" s="49">
        <v>731.49</v>
      </c>
      <c r="Y8" s="49">
        <v>1006.82</v>
      </c>
      <c r="Z8" s="49">
        <v>1558.11</v>
      </c>
    </row>
    <row r="9" spans="2:26" ht="15" customHeight="1" x14ac:dyDescent="0.2">
      <c r="B9" s="59" t="s">
        <v>80</v>
      </c>
      <c r="C9" s="63"/>
      <c r="D9" s="9"/>
      <c r="E9" s="44"/>
      <c r="F9" s="86"/>
      <c r="G9" s="44"/>
      <c r="H9" s="66"/>
      <c r="I9" s="67"/>
      <c r="L9" s="29"/>
      <c r="M9" s="29"/>
      <c r="O9" s="31" t="s">
        <v>58</v>
      </c>
      <c r="P9" s="34">
        <v>0</v>
      </c>
      <c r="Q9" s="49">
        <v>135.88</v>
      </c>
      <c r="R9" s="49">
        <v>185.11</v>
      </c>
      <c r="S9" s="49">
        <v>221.57</v>
      </c>
      <c r="T9" s="49">
        <v>252.87</v>
      </c>
      <c r="U9" s="49">
        <v>263.05</v>
      </c>
      <c r="V9" s="49">
        <v>267.94</v>
      </c>
      <c r="W9" s="49">
        <v>332.89</v>
      </c>
      <c r="X9" s="49">
        <v>382.71</v>
      </c>
      <c r="Y9" s="49">
        <v>526.71</v>
      </c>
      <c r="Z9" s="49">
        <v>814.57</v>
      </c>
    </row>
    <row r="10" spans="2:26" ht="15" customHeight="1" x14ac:dyDescent="0.2">
      <c r="B10" s="59" t="s">
        <v>81</v>
      </c>
      <c r="C10" s="60"/>
      <c r="D10" s="9"/>
      <c r="E10" s="44"/>
      <c r="F10" s="86"/>
      <c r="G10" s="44"/>
      <c r="L10" s="29"/>
      <c r="M10" s="29"/>
      <c r="O10" s="31" t="s">
        <v>59</v>
      </c>
      <c r="P10" s="34">
        <v>0</v>
      </c>
      <c r="Q10" s="49">
        <v>206.74</v>
      </c>
      <c r="R10" s="49">
        <v>281.60000000000002</v>
      </c>
      <c r="S10" s="49">
        <v>337.1</v>
      </c>
      <c r="T10" s="49">
        <v>384.77</v>
      </c>
      <c r="U10" s="49">
        <v>400.26</v>
      </c>
      <c r="V10" s="49">
        <v>407.69</v>
      </c>
      <c r="W10" s="49">
        <v>506.53</v>
      </c>
      <c r="X10" s="49">
        <v>582.30999999999995</v>
      </c>
      <c r="Y10" s="49">
        <v>801.47</v>
      </c>
      <c r="Z10" s="49">
        <v>1240.32</v>
      </c>
    </row>
    <row r="11" spans="2:26" ht="15" customHeight="1" x14ac:dyDescent="0.25">
      <c r="B11" s="59" t="s">
        <v>82</v>
      </c>
      <c r="C11" s="64">
        <f>IF(C10&lt;25,C10*0.02,0.5)</f>
        <v>0</v>
      </c>
      <c r="D11" s="61">
        <f>HLOOKUP(B7,H14:K15,2)*C11</f>
        <v>0</v>
      </c>
      <c r="E11" s="44"/>
      <c r="F11" s="86"/>
      <c r="G11" s="44"/>
      <c r="J11" s="65"/>
      <c r="L11" s="29"/>
      <c r="M11" s="29"/>
    </row>
    <row r="12" spans="2:26" ht="15" customHeight="1" x14ac:dyDescent="0.2">
      <c r="B12" s="9"/>
      <c r="C12" s="9"/>
      <c r="D12" s="9"/>
      <c r="E12" s="44"/>
      <c r="F12" s="86"/>
      <c r="G12" s="44"/>
      <c r="J12" s="65"/>
      <c r="L12" s="29"/>
      <c r="M12" s="29"/>
    </row>
    <row r="13" spans="2:26" ht="15" customHeight="1" x14ac:dyDescent="0.2">
      <c r="B13" s="81" t="s">
        <v>41</v>
      </c>
      <c r="C13" s="81"/>
      <c r="D13" s="81"/>
      <c r="E13" s="41"/>
      <c r="F13" s="86"/>
      <c r="G13" s="41"/>
      <c r="L13" s="29"/>
      <c r="M13" s="29"/>
    </row>
    <row r="14" spans="2:26" x14ac:dyDescent="0.2">
      <c r="B14" s="37"/>
      <c r="C14" s="37" t="s">
        <v>43</v>
      </c>
      <c r="D14" s="37" t="s">
        <v>44</v>
      </c>
      <c r="E14" s="45"/>
      <c r="F14" s="86"/>
      <c r="G14" s="45"/>
      <c r="H14" s="32" t="str">
        <f>O7</f>
        <v>Ambulatorial</v>
      </c>
      <c r="I14" s="32" t="str">
        <f>O8</f>
        <v>Privativo</v>
      </c>
      <c r="J14" s="32" t="str">
        <f>O9</f>
        <v>Referência</v>
      </c>
      <c r="K14" s="32" t="str">
        <f>O10</f>
        <v>Semi privativo Plus</v>
      </c>
      <c r="L14" s="68" t="s">
        <v>45</v>
      </c>
      <c r="M14" s="69"/>
    </row>
    <row r="15" spans="2:26" ht="17.25" customHeight="1" x14ac:dyDescent="0.2">
      <c r="B15" s="62" t="s">
        <v>83</v>
      </c>
      <c r="C15" s="14"/>
      <c r="D15" s="15">
        <f>HLOOKUP(B7,H14:K15,2)-D11</f>
        <v>0</v>
      </c>
      <c r="E15" s="46"/>
      <c r="F15" s="86"/>
      <c r="G15" s="46"/>
      <c r="H15" s="51">
        <f>HLOOKUP(C15,P6:Z7,2)</f>
        <v>0</v>
      </c>
      <c r="I15" s="51">
        <f>HLOOKUP(C15,P6:Z8,3)</f>
        <v>0</v>
      </c>
      <c r="J15" s="51">
        <f>HLOOKUP(C15,P6:Z10,4)</f>
        <v>0</v>
      </c>
      <c r="K15" s="51">
        <f>HLOOKUP(C15,P6:Z10,5)</f>
        <v>0</v>
      </c>
      <c r="L15" s="28">
        <f>VLOOKUP(B15,P16:Q49,2)</f>
        <v>0.4</v>
      </c>
      <c r="M15" s="24">
        <f>J15-(J15*L15)</f>
        <v>0</v>
      </c>
      <c r="O15" s="25" t="s">
        <v>55</v>
      </c>
      <c r="P15" s="25" t="s">
        <v>56</v>
      </c>
      <c r="Q15" s="26" t="s">
        <v>57</v>
      </c>
      <c r="S15" s="9" t="s">
        <v>46</v>
      </c>
    </row>
    <row r="16" spans="2:26" ht="20.25" customHeight="1" x14ac:dyDescent="0.2">
      <c r="B16" s="9"/>
      <c r="C16" s="9"/>
      <c r="D16" s="10"/>
      <c r="E16" s="42"/>
      <c r="F16" s="87"/>
      <c r="G16" s="42"/>
      <c r="L16" s="29"/>
      <c r="M16" s="29"/>
      <c r="O16" s="27">
        <v>5</v>
      </c>
      <c r="P16" s="20" t="s">
        <v>9</v>
      </c>
      <c r="Q16" s="22">
        <v>0.3</v>
      </c>
      <c r="S16" s="9" t="s">
        <v>47</v>
      </c>
    </row>
    <row r="17" spans="2:21" ht="15.6" customHeight="1" x14ac:dyDescent="0.2">
      <c r="B17" s="37" t="s">
        <v>37</v>
      </c>
      <c r="C17" s="37" t="s">
        <v>43</v>
      </c>
      <c r="D17" s="37" t="s">
        <v>44</v>
      </c>
      <c r="E17" s="45"/>
      <c r="F17" s="48" t="s">
        <v>65</v>
      </c>
      <c r="G17" s="45"/>
      <c r="H17" s="32" t="str">
        <f>O7</f>
        <v>Ambulatorial</v>
      </c>
      <c r="I17" s="32" t="str">
        <f>O8</f>
        <v>Privativo</v>
      </c>
      <c r="J17" s="32" t="str">
        <f>O9</f>
        <v>Referência</v>
      </c>
      <c r="K17" s="32" t="str">
        <f>O10</f>
        <v>Semi privativo Plus</v>
      </c>
      <c r="L17" s="29"/>
      <c r="M17" s="29"/>
      <c r="O17" s="27">
        <v>6</v>
      </c>
      <c r="P17" s="20" t="s">
        <v>11</v>
      </c>
      <c r="Q17" s="22">
        <v>0.3</v>
      </c>
      <c r="S17" s="9" t="s">
        <v>48</v>
      </c>
    </row>
    <row r="18" spans="2:21" ht="15.6" customHeight="1" x14ac:dyDescent="0.2">
      <c r="B18" s="16"/>
      <c r="C18" s="14"/>
      <c r="D18" s="17">
        <f>HLOOKUP($B$7,$H$17:$K$25,2)</f>
        <v>0</v>
      </c>
      <c r="E18" s="46"/>
      <c r="F18" s="82" t="str">
        <f>VLOOKUP(B7,S21:T24,2)</f>
        <v>* Emergência e Urgência: 24 horas;
* Consultas médicas eletivas e exames de baixa complexidade: 30 dias;
* Fisiatria: 60 dias;
* Exames de sangue, urina, fezes, microbiologia, radiologia simples: 30 dias;
* Exames e procedimentos complementares: 60 dias;
* Atendimento e internações psiquiátricas: 60 dias;
* Internações hospitalares: 60 dias;
* Eventos obstétricos a termo: 300 dias;
* Todos os demais casos de cobertura: 180 dias.</v>
      </c>
      <c r="G18" s="46"/>
      <c r="H18" s="52">
        <f t="shared" ref="H18:H25" si="0">HLOOKUP(C18,$P$6:$Z$7,2)*0.8</f>
        <v>0</v>
      </c>
      <c r="I18" s="52">
        <f>HLOOKUP(C18,$P$6:$Z$8,3)*0.8</f>
        <v>0</v>
      </c>
      <c r="J18" s="52">
        <f>HLOOKUP(C18,$P$6:$Z$10,4)*0.8</f>
        <v>0</v>
      </c>
      <c r="K18" s="52">
        <f t="shared" ref="K18:K25" si="1">HLOOKUP(C18,$P$6:$Z$10,5)*0.8</f>
        <v>0</v>
      </c>
      <c r="L18" s="29"/>
      <c r="M18" s="29"/>
      <c r="O18" s="27">
        <v>8</v>
      </c>
      <c r="P18" s="20" t="s">
        <v>36</v>
      </c>
      <c r="Q18" s="22">
        <v>0.4</v>
      </c>
      <c r="S18" s="9" t="s">
        <v>49</v>
      </c>
    </row>
    <row r="19" spans="2:21" ht="15.6" customHeight="1" x14ac:dyDescent="0.2">
      <c r="B19" s="16"/>
      <c r="C19" s="14"/>
      <c r="D19" s="17">
        <f>HLOOKUP($B$7,$H$17:$K$25,3)</f>
        <v>0</v>
      </c>
      <c r="E19" s="46"/>
      <c r="F19" s="83"/>
      <c r="G19" s="46"/>
      <c r="H19" s="52">
        <f t="shared" si="0"/>
        <v>0</v>
      </c>
      <c r="I19" s="52">
        <f t="shared" ref="I19:I25" si="2">HLOOKUP(C19,$P$6:$Z$8,3)*0.8</f>
        <v>0</v>
      </c>
      <c r="J19" s="52">
        <f>HLOOKUP(C19,P6:Z10,4)*0.8</f>
        <v>0</v>
      </c>
      <c r="K19" s="52">
        <f t="shared" si="1"/>
        <v>0</v>
      </c>
      <c r="L19" s="29"/>
      <c r="M19" s="29"/>
      <c r="O19" s="27">
        <v>4</v>
      </c>
      <c r="P19" s="20" t="s">
        <v>8</v>
      </c>
      <c r="Q19" s="22">
        <v>0.2</v>
      </c>
    </row>
    <row r="20" spans="2:21" ht="15.6" customHeight="1" x14ac:dyDescent="0.2">
      <c r="B20" s="16"/>
      <c r="C20" s="14"/>
      <c r="D20" s="17">
        <f>HLOOKUP($B$7,$H$17:$K$25,4)</f>
        <v>0</v>
      </c>
      <c r="E20" s="46"/>
      <c r="F20" s="83"/>
      <c r="G20" s="46"/>
      <c r="H20" s="52">
        <f t="shared" si="0"/>
        <v>0</v>
      </c>
      <c r="I20" s="52">
        <f t="shared" si="2"/>
        <v>0</v>
      </c>
      <c r="J20" s="52">
        <f>HLOOKUP(C20,P6:Z10,4)*0.8</f>
        <v>0</v>
      </c>
      <c r="K20" s="52">
        <f t="shared" si="1"/>
        <v>0</v>
      </c>
      <c r="L20" s="29"/>
      <c r="M20" s="29"/>
      <c r="N20" s="29"/>
      <c r="O20" s="27">
        <v>2</v>
      </c>
      <c r="P20" s="20" t="s">
        <v>1</v>
      </c>
      <c r="Q20" s="22">
        <v>0.1</v>
      </c>
    </row>
    <row r="21" spans="2:21" ht="15.6" customHeight="1" x14ac:dyDescent="0.2">
      <c r="B21" s="16"/>
      <c r="C21" s="14"/>
      <c r="D21" s="17">
        <f>HLOOKUP($B$7,$H$17:$K$25,5)</f>
        <v>0</v>
      </c>
      <c r="E21" s="46"/>
      <c r="F21" s="83"/>
      <c r="G21" s="46"/>
      <c r="H21" s="52">
        <f t="shared" si="0"/>
        <v>0</v>
      </c>
      <c r="I21" s="52">
        <f t="shared" si="2"/>
        <v>0</v>
      </c>
      <c r="J21" s="52">
        <f>HLOOKUP(C21,P6:Z10,4)*0.8</f>
        <v>0</v>
      </c>
      <c r="K21" s="52">
        <f t="shared" si="1"/>
        <v>0</v>
      </c>
      <c r="L21" s="29"/>
      <c r="M21" s="29"/>
      <c r="N21" s="29"/>
      <c r="O21" s="27">
        <v>3</v>
      </c>
      <c r="P21" s="20" t="s">
        <v>3</v>
      </c>
      <c r="Q21" s="22">
        <v>0.2</v>
      </c>
      <c r="S21" s="40" t="str">
        <f>O7</f>
        <v>Ambulatorial</v>
      </c>
      <c r="T21" s="39" t="s">
        <v>61</v>
      </c>
      <c r="U21" s="39" t="s">
        <v>67</v>
      </c>
    </row>
    <row r="22" spans="2:21" ht="15.6" customHeight="1" x14ac:dyDescent="0.2">
      <c r="B22" s="16"/>
      <c r="C22" s="14"/>
      <c r="D22" s="17">
        <f>HLOOKUP($B$7,$H$17:$K$25,6)</f>
        <v>0</v>
      </c>
      <c r="E22" s="46"/>
      <c r="F22" s="83"/>
      <c r="G22" s="46"/>
      <c r="H22" s="52">
        <f t="shared" si="0"/>
        <v>0</v>
      </c>
      <c r="I22" s="52">
        <f t="shared" si="2"/>
        <v>0</v>
      </c>
      <c r="J22" s="52">
        <f>HLOOKUP(C22,P6:Z10,4)*0.8</f>
        <v>0</v>
      </c>
      <c r="K22" s="52">
        <f t="shared" si="1"/>
        <v>0</v>
      </c>
      <c r="L22" s="29"/>
      <c r="M22" s="29"/>
      <c r="N22" s="29"/>
      <c r="O22" s="27">
        <v>2</v>
      </c>
      <c r="P22" s="20" t="s">
        <v>2</v>
      </c>
      <c r="Q22" s="22">
        <v>0.1</v>
      </c>
      <c r="S22" s="40" t="str">
        <f>O8</f>
        <v>Privativo</v>
      </c>
      <c r="T22" s="39" t="s">
        <v>66</v>
      </c>
      <c r="U22" s="39" t="s">
        <v>69</v>
      </c>
    </row>
    <row r="23" spans="2:21" ht="15.6" customHeight="1" x14ac:dyDescent="0.2">
      <c r="B23" s="16"/>
      <c r="C23" s="14"/>
      <c r="D23" s="17">
        <f>HLOOKUP($B$7,$H$17:$K$25,7)</f>
        <v>0</v>
      </c>
      <c r="E23" s="46"/>
      <c r="F23" s="83"/>
      <c r="G23" s="46"/>
      <c r="H23" s="52">
        <f t="shared" si="0"/>
        <v>0</v>
      </c>
      <c r="I23" s="52">
        <f t="shared" si="2"/>
        <v>0</v>
      </c>
      <c r="J23" s="52">
        <f>HLOOKUP(C23,P6:Z10,4)*0.8</f>
        <v>0</v>
      </c>
      <c r="K23" s="52">
        <f t="shared" si="1"/>
        <v>0</v>
      </c>
      <c r="L23" s="29"/>
      <c r="M23" s="29"/>
      <c r="N23" s="29"/>
      <c r="O23" s="27">
        <v>1</v>
      </c>
      <c r="P23" s="19" t="s">
        <v>0</v>
      </c>
      <c r="Q23" s="22">
        <v>0.1</v>
      </c>
      <c r="S23" s="40" t="str">
        <f>O9</f>
        <v>Referência</v>
      </c>
      <c r="T23" s="39" t="s">
        <v>62</v>
      </c>
      <c r="U23" s="39" t="s">
        <v>68</v>
      </c>
    </row>
    <row r="24" spans="2:21" ht="15.6" customHeight="1" x14ac:dyDescent="0.2">
      <c r="B24" s="16"/>
      <c r="C24" s="14"/>
      <c r="D24" s="17">
        <f>HLOOKUP($B$7,$H$17:$K$25,8)</f>
        <v>0</v>
      </c>
      <c r="E24" s="46"/>
      <c r="F24" s="83"/>
      <c r="G24" s="46"/>
      <c r="H24" s="52">
        <f t="shared" si="0"/>
        <v>0</v>
      </c>
      <c r="I24" s="52">
        <f t="shared" si="2"/>
        <v>0</v>
      </c>
      <c r="J24" s="52">
        <f>HLOOKUP(C24,P6:Z10,4)*0.8</f>
        <v>0</v>
      </c>
      <c r="K24" s="52">
        <f t="shared" si="1"/>
        <v>0</v>
      </c>
      <c r="L24" s="29"/>
      <c r="M24" s="29"/>
      <c r="N24" s="29"/>
      <c r="O24" s="27">
        <v>6</v>
      </c>
      <c r="P24" s="20" t="s">
        <v>10</v>
      </c>
      <c r="Q24" s="22">
        <v>0.3</v>
      </c>
      <c r="S24" s="40" t="str">
        <f>O10</f>
        <v>Semi privativo Plus</v>
      </c>
      <c r="T24" s="39" t="s">
        <v>63</v>
      </c>
      <c r="U24" s="39" t="s">
        <v>70</v>
      </c>
    </row>
    <row r="25" spans="2:21" ht="15.6" customHeight="1" x14ac:dyDescent="0.2">
      <c r="B25" s="16"/>
      <c r="C25" s="14"/>
      <c r="D25" s="17">
        <f>HLOOKUP($B$7,$H$17:$K$25,9)</f>
        <v>0</v>
      </c>
      <c r="E25" s="46"/>
      <c r="F25" s="83"/>
      <c r="G25" s="46"/>
      <c r="H25" s="52">
        <f t="shared" si="0"/>
        <v>0</v>
      </c>
      <c r="I25" s="52">
        <f t="shared" si="2"/>
        <v>0</v>
      </c>
      <c r="J25" s="52">
        <f>HLOOKUP(C25,P6:Z10,4)*0.8</f>
        <v>0</v>
      </c>
      <c r="K25" s="52">
        <f t="shared" si="1"/>
        <v>0</v>
      </c>
      <c r="L25" s="29"/>
      <c r="M25" s="29"/>
      <c r="N25" s="29"/>
      <c r="O25" s="27">
        <v>8</v>
      </c>
      <c r="P25" s="20" t="s">
        <v>30</v>
      </c>
      <c r="Q25" s="22">
        <v>0.4</v>
      </c>
    </row>
    <row r="26" spans="2:21" ht="15" customHeight="1" thickBot="1" x14ac:dyDescent="0.25">
      <c r="B26" s="9"/>
      <c r="C26" s="13"/>
      <c r="D26" s="10"/>
      <c r="E26" s="42"/>
      <c r="F26" s="83"/>
      <c r="G26" s="42"/>
      <c r="L26" s="29"/>
      <c r="M26" s="29"/>
      <c r="O26" s="27">
        <v>8</v>
      </c>
      <c r="P26" s="20" t="s">
        <v>15</v>
      </c>
      <c r="Q26" s="22">
        <v>0.4</v>
      </c>
    </row>
    <row r="27" spans="2:21" ht="33" customHeight="1" thickBot="1" x14ac:dyDescent="0.25">
      <c r="B27" s="38" t="s">
        <v>50</v>
      </c>
      <c r="C27" s="79">
        <f>SUM(D15:D25)</f>
        <v>0</v>
      </c>
      <c r="D27" s="80"/>
      <c r="E27" s="43"/>
      <c r="F27" s="84"/>
      <c r="G27" s="43"/>
      <c r="L27" s="29"/>
      <c r="M27" s="29"/>
      <c r="O27" s="27">
        <v>8</v>
      </c>
      <c r="P27" s="20" t="s">
        <v>14</v>
      </c>
      <c r="Q27" s="22">
        <v>0.4</v>
      </c>
    </row>
    <row r="28" spans="2:21" ht="15.6" customHeight="1" x14ac:dyDescent="0.2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O28" s="27">
        <v>8</v>
      </c>
      <c r="P28" s="20" t="s">
        <v>28</v>
      </c>
      <c r="Q28" s="22">
        <v>0.4</v>
      </c>
    </row>
    <row r="29" spans="2:21" ht="15.6" customHeight="1" x14ac:dyDescent="0.2">
      <c r="H29" s="29"/>
      <c r="I29" s="18"/>
      <c r="J29" s="18"/>
      <c r="K29" s="18"/>
      <c r="L29" s="18"/>
      <c r="O29" s="27">
        <v>8</v>
      </c>
      <c r="P29" s="20" t="s">
        <v>51</v>
      </c>
      <c r="Q29" s="22">
        <v>0.4</v>
      </c>
    </row>
    <row r="30" spans="2:21" ht="15.6" customHeight="1" x14ac:dyDescent="0.2">
      <c r="H30" s="29"/>
      <c r="I30" s="18"/>
      <c r="J30" s="18"/>
      <c r="K30" s="18"/>
      <c r="L30" s="18"/>
      <c r="O30" s="27">
        <v>8</v>
      </c>
      <c r="P30" s="20" t="s">
        <v>33</v>
      </c>
      <c r="Q30" s="22">
        <v>0.4</v>
      </c>
    </row>
    <row r="31" spans="2:21" ht="15.6" customHeight="1" x14ac:dyDescent="0.2">
      <c r="H31" s="29"/>
      <c r="O31" s="27">
        <v>8</v>
      </c>
      <c r="P31" s="20" t="s">
        <v>34</v>
      </c>
      <c r="Q31" s="22">
        <v>0.4</v>
      </c>
    </row>
    <row r="32" spans="2:21" ht="15.6" customHeight="1" x14ac:dyDescent="0.2">
      <c r="G32" s="53"/>
      <c r="I32" s="18"/>
      <c r="J32" s="55"/>
      <c r="O32" s="27">
        <v>8</v>
      </c>
      <c r="P32" s="20" t="s">
        <v>26</v>
      </c>
      <c r="Q32" s="22">
        <v>0.4</v>
      </c>
    </row>
    <row r="33" spans="7:17" ht="15.6" customHeight="1" x14ac:dyDescent="0.2">
      <c r="G33" s="54"/>
      <c r="H33" s="54"/>
      <c r="I33" s="18"/>
      <c r="J33" s="55"/>
      <c r="L33" s="55"/>
      <c r="O33" s="27">
        <v>8</v>
      </c>
      <c r="P33" s="20" t="s">
        <v>29</v>
      </c>
      <c r="Q33" s="22">
        <v>0.4</v>
      </c>
    </row>
    <row r="34" spans="7:17" ht="15.6" customHeight="1" x14ac:dyDescent="0.2">
      <c r="G34" s="54"/>
      <c r="H34" s="54"/>
      <c r="I34" s="18"/>
      <c r="J34" s="55"/>
      <c r="O34" s="27">
        <v>8</v>
      </c>
      <c r="P34" s="20" t="s">
        <v>31</v>
      </c>
      <c r="Q34" s="22">
        <v>0.4</v>
      </c>
    </row>
    <row r="35" spans="7:17" ht="15.6" customHeight="1" x14ac:dyDescent="0.2">
      <c r="G35" s="54"/>
      <c r="H35" s="54"/>
      <c r="I35" s="18"/>
      <c r="J35" s="55"/>
      <c r="O35" s="27">
        <v>8</v>
      </c>
      <c r="P35" s="20" t="s">
        <v>16</v>
      </c>
      <c r="Q35" s="22">
        <v>0.4</v>
      </c>
    </row>
    <row r="36" spans="7:17" ht="15.6" customHeight="1" x14ac:dyDescent="0.2">
      <c r="G36" s="54"/>
      <c r="H36" s="54"/>
      <c r="I36" s="18"/>
      <c r="J36" s="55"/>
      <c r="K36" s="55"/>
      <c r="O36" s="27">
        <v>8</v>
      </c>
      <c r="P36" s="20" t="s">
        <v>27</v>
      </c>
      <c r="Q36" s="22">
        <v>0.4</v>
      </c>
    </row>
    <row r="37" spans="7:17" ht="15.6" customHeight="1" x14ac:dyDescent="0.2">
      <c r="H37" s="18"/>
      <c r="O37" s="27">
        <v>8</v>
      </c>
      <c r="P37" s="20" t="s">
        <v>32</v>
      </c>
      <c r="Q37" s="22">
        <v>0.4</v>
      </c>
    </row>
    <row r="38" spans="7:17" ht="15.6" customHeight="1" x14ac:dyDescent="0.2">
      <c r="H38" s="18"/>
      <c r="O38" s="27">
        <v>8</v>
      </c>
      <c r="P38" s="20" t="s">
        <v>35</v>
      </c>
      <c r="Q38" s="22">
        <v>0.4</v>
      </c>
    </row>
    <row r="39" spans="7:17" ht="15.6" customHeight="1" x14ac:dyDescent="0.2">
      <c r="H39" s="18"/>
      <c r="O39" s="27">
        <v>4</v>
      </c>
      <c r="P39" s="20" t="s">
        <v>4</v>
      </c>
      <c r="Q39" s="22">
        <v>0.2</v>
      </c>
    </row>
    <row r="40" spans="7:17" ht="15.6" customHeight="1" x14ac:dyDescent="0.2">
      <c r="H40" s="29"/>
      <c r="I40" s="18" t="s">
        <v>79</v>
      </c>
      <c r="O40" s="27">
        <v>4</v>
      </c>
      <c r="P40" s="20" t="s">
        <v>52</v>
      </c>
      <c r="Q40" s="22">
        <v>0.2</v>
      </c>
    </row>
    <row r="41" spans="7:17" ht="15.6" customHeight="1" x14ac:dyDescent="0.2">
      <c r="G41" s="21" t="s">
        <v>78</v>
      </c>
      <c r="H41" s="29"/>
      <c r="I41" s="24">
        <f>C10</f>
        <v>0</v>
      </c>
      <c r="O41" s="27">
        <v>5</v>
      </c>
      <c r="P41" s="20" t="s">
        <v>53</v>
      </c>
      <c r="Q41" s="22">
        <v>0.3</v>
      </c>
    </row>
    <row r="42" spans="7:17" ht="15.6" customHeight="1" x14ac:dyDescent="0.2">
      <c r="H42" s="29" t="s">
        <v>77</v>
      </c>
      <c r="O42" s="27">
        <v>6</v>
      </c>
      <c r="P42" s="20" t="s">
        <v>54</v>
      </c>
      <c r="Q42" s="22">
        <v>0.3</v>
      </c>
    </row>
    <row r="43" spans="7:17" ht="15.6" customHeight="1" x14ac:dyDescent="0.2">
      <c r="G43" s="53" t="s">
        <v>75</v>
      </c>
      <c r="H43" s="56"/>
      <c r="I43" s="18">
        <v>5811</v>
      </c>
      <c r="J43" s="55">
        <f>HLOOKUP(B7,H14:K15,2)-J44</f>
        <v>0</v>
      </c>
      <c r="O43" s="27">
        <v>7</v>
      </c>
      <c r="P43" s="20" t="s">
        <v>13</v>
      </c>
      <c r="Q43" s="22">
        <v>0.4</v>
      </c>
    </row>
    <row r="44" spans="7:17" ht="15.6" customHeight="1" x14ac:dyDescent="0.2">
      <c r="G44" s="54" t="s">
        <v>76</v>
      </c>
      <c r="H44" s="54"/>
      <c r="I44" s="18">
        <v>5812</v>
      </c>
      <c r="J44" s="55">
        <f>HLOOKUP(B7,H14:K15,2)*K44</f>
        <v>0</v>
      </c>
      <c r="K44" s="58">
        <f>IF(I41&lt;25,I41*0.02,0.5)</f>
        <v>0</v>
      </c>
      <c r="O44" s="27">
        <v>4</v>
      </c>
      <c r="P44" s="20" t="s">
        <v>5</v>
      </c>
      <c r="Q44" s="22">
        <v>0.2</v>
      </c>
    </row>
    <row r="45" spans="7:17" ht="15.6" customHeight="1" x14ac:dyDescent="0.2">
      <c r="G45" s="54" t="s">
        <v>72</v>
      </c>
      <c r="H45" s="54"/>
      <c r="I45" s="18">
        <v>3943</v>
      </c>
      <c r="J45" s="55">
        <f>SUM(D18:D25)</f>
        <v>0</v>
      </c>
      <c r="O45" s="27">
        <v>6</v>
      </c>
      <c r="P45" s="20" t="s">
        <v>12</v>
      </c>
      <c r="Q45" s="22">
        <v>0.3</v>
      </c>
    </row>
    <row r="46" spans="7:17" ht="15.6" customHeight="1" x14ac:dyDescent="0.2">
      <c r="G46" s="54" t="s">
        <v>73</v>
      </c>
      <c r="H46" s="54"/>
      <c r="I46" s="18">
        <v>3945</v>
      </c>
      <c r="J46" s="55">
        <f>J45/8*2</f>
        <v>0</v>
      </c>
      <c r="K46" s="29"/>
      <c r="L46" s="29"/>
      <c r="M46" s="29"/>
      <c r="N46" s="29"/>
      <c r="O46" s="27">
        <v>3</v>
      </c>
      <c r="P46" s="20" t="s">
        <v>6</v>
      </c>
      <c r="Q46" s="22">
        <v>0.2</v>
      </c>
    </row>
    <row r="47" spans="7:17" ht="15.6" customHeight="1" x14ac:dyDescent="0.2">
      <c r="G47" s="54" t="s">
        <v>74</v>
      </c>
      <c r="H47" s="54"/>
      <c r="I47" s="18">
        <v>3920</v>
      </c>
      <c r="J47" s="55">
        <f>SUM(J43:J46)</f>
        <v>0</v>
      </c>
      <c r="K47" s="29"/>
      <c r="L47" s="29"/>
      <c r="M47" s="29"/>
      <c r="N47" s="29"/>
      <c r="O47" s="27">
        <v>7</v>
      </c>
      <c r="P47" s="20" t="s">
        <v>24</v>
      </c>
      <c r="Q47" s="22">
        <v>0.4</v>
      </c>
    </row>
    <row r="48" spans="7:17" ht="15.6" customHeight="1" x14ac:dyDescent="0.2">
      <c r="H48" s="29"/>
      <c r="I48" s="29"/>
      <c r="J48" s="29"/>
      <c r="K48" s="29"/>
      <c r="L48" s="29"/>
      <c r="M48" s="29"/>
      <c r="N48" s="29"/>
      <c r="O48" s="27">
        <v>8</v>
      </c>
      <c r="P48" s="20" t="s">
        <v>25</v>
      </c>
      <c r="Q48" s="22">
        <v>0.4</v>
      </c>
    </row>
    <row r="49" spans="8:17" ht="15.6" customHeight="1" x14ac:dyDescent="0.2">
      <c r="H49" s="29"/>
      <c r="I49" s="29"/>
      <c r="J49" s="29"/>
      <c r="K49" s="29"/>
      <c r="L49" s="29"/>
      <c r="M49" s="29"/>
      <c r="N49" s="29"/>
      <c r="O49" s="27">
        <v>3</v>
      </c>
      <c r="P49" s="20" t="s">
        <v>7</v>
      </c>
      <c r="Q49" s="22">
        <v>0.2</v>
      </c>
    </row>
  </sheetData>
  <mergeCells count="6">
    <mergeCell ref="B2:D4"/>
    <mergeCell ref="F3:F16"/>
    <mergeCell ref="B13:D13"/>
    <mergeCell ref="L14:M14"/>
    <mergeCell ref="F18:F27"/>
    <mergeCell ref="C27:D27"/>
  </mergeCells>
  <conditionalFormatting sqref="B8">
    <cfRule type="cellIs" dxfId="0" priority="1" stopIfTrue="1" operator="equal">
      <formula>0</formula>
    </cfRule>
  </conditionalFormatting>
  <dataValidations count="4">
    <dataValidation type="list" allowBlank="1" showInputMessage="1" showErrorMessage="1" sqref="B7">
      <formula1>$O$7:$O$10</formula1>
    </dataValidation>
    <dataValidation type="whole" allowBlank="1" showInputMessage="1" showErrorMessage="1" errorTitle="Idade acima de 200 anos" error="Favor verificar e corrigir esta informação" sqref="C18:C25 C15">
      <formula1>0</formula1>
      <formula2>200</formula2>
    </dataValidation>
    <dataValidation type="list" allowBlank="1" showInputMessage="1" showErrorMessage="1" sqref="B18:B25">
      <formula1>$S$15:$S$18</formula1>
    </dataValidation>
    <dataValidation allowBlank="1" showErrorMessage="1" errorTitle="Erro de Cargo" error="Selecione um cargo da lista" promptTitle="Selecione seu cargo" prompt="Selecione seu cargo" sqref="B15"/>
  </dataValidations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:B2"/>
    </sheetView>
  </sheetViews>
  <sheetFormatPr defaultRowHeight="12.75" x14ac:dyDescent="0.2"/>
  <cols>
    <col min="1" max="1" width="10.5703125" bestFit="1" customWidth="1"/>
    <col min="2" max="2" width="29.7109375" bestFit="1" customWidth="1"/>
  </cols>
  <sheetData>
    <row r="1" spans="1:2" ht="13.5" thickBot="1" x14ac:dyDescent="0.25">
      <c r="A1" s="97" t="s">
        <v>22</v>
      </c>
      <c r="B1" s="98"/>
    </row>
    <row r="2" spans="1:2" ht="13.5" thickBot="1" x14ac:dyDescent="0.25">
      <c r="A2" s="97" t="s">
        <v>23</v>
      </c>
      <c r="B2" s="98"/>
    </row>
    <row r="3" spans="1:2" x14ac:dyDescent="0.2">
      <c r="A3" s="3">
        <v>122.9</v>
      </c>
      <c r="B3" s="4" t="s">
        <v>18</v>
      </c>
    </row>
    <row r="4" spans="1:2" x14ac:dyDescent="0.2">
      <c r="A4" s="3">
        <f>122.9*34%</f>
        <v>41.786000000000008</v>
      </c>
      <c r="B4" s="4" t="s">
        <v>17</v>
      </c>
    </row>
    <row r="5" spans="1:2" x14ac:dyDescent="0.2">
      <c r="A5" s="3">
        <v>175.78</v>
      </c>
      <c r="B5" s="4" t="s">
        <v>19</v>
      </c>
    </row>
    <row r="6" spans="1:2" x14ac:dyDescent="0.2">
      <c r="A6" s="3">
        <f>A3-A4</f>
        <v>81.114000000000004</v>
      </c>
      <c r="B6" s="5" t="s">
        <v>20</v>
      </c>
    </row>
    <row r="7" spans="1:2" ht="13.5" thickBot="1" x14ac:dyDescent="0.25">
      <c r="A7" s="6">
        <f>A5-A6</f>
        <v>94.665999999999997</v>
      </c>
      <c r="B7" s="7" t="s">
        <v>21</v>
      </c>
    </row>
    <row r="8" spans="1:2" x14ac:dyDescent="0.2">
      <c r="A8" s="2"/>
      <c r="B8" s="1"/>
    </row>
    <row r="9" spans="1:2" x14ac:dyDescent="0.2">
      <c r="A9" s="2"/>
      <c r="B9" s="1"/>
    </row>
  </sheetData>
  <mergeCells count="2">
    <mergeCell ref="A1:B1"/>
    <mergeCell ref="A2:B2"/>
  </mergeCells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CB2A140E9F0D47BB29949CC42CD09F" ma:contentTypeVersion="0" ma:contentTypeDescription="Crie um novo documento." ma:contentTypeScope="" ma:versionID="59386ebeeb6ea3f63dc0b83d55d74e2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b358bd3c4937f8c29cf3e1e721863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8E6272-BB3F-41E1-8239-63D9DF1D3D0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9EB9B9-FA25-4A4A-A232-A53E3E68D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16581-9BDE-4D5B-A03A-A31AF29D7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Simulador</vt:lpstr>
      <vt:lpstr>Simulador Prof Assistente</vt:lpstr>
      <vt:lpstr>Exemplo</vt:lpstr>
      <vt:lpstr>Simulador!Area_de_impressao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Rosilene Pereira Chagas</dc:creator>
  <cp:lastModifiedBy>Waleska Pires de Camargo</cp:lastModifiedBy>
  <cp:revision>2</cp:revision>
  <cp:lastPrinted>2016-02-18T12:44:14Z</cp:lastPrinted>
  <dcterms:created xsi:type="dcterms:W3CDTF">2006-06-01T21:08:33Z</dcterms:created>
  <dcterms:modified xsi:type="dcterms:W3CDTF">2017-10-06T18:43:26Z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0x010100FBCB2A140E9F0D47BB29949CC42CD09F</vt:lpwstr>
  </property>
</Properties>
</file>